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0455" windowHeight="7140" activeTab="3"/>
  </bookViews>
  <sheets>
    <sheet name="Gasifier Material" sheetId="1" r:id="rId1"/>
    <sheet name="Combuster" sheetId="3" r:id="rId2"/>
    <sheet name="Energy" sheetId="4" r:id="rId3"/>
    <sheet name="Summary" sheetId="2" r:id="rId4"/>
  </sheets>
  <calcPr calcId="124519"/>
</workbook>
</file>

<file path=xl/calcChain.xml><?xml version="1.0" encoding="utf-8"?>
<calcChain xmlns="http://schemas.openxmlformats.org/spreadsheetml/2006/main">
  <c r="L28" i="2"/>
  <c r="P38"/>
  <c r="P21"/>
  <c r="P12"/>
  <c r="P11"/>
  <c r="L23"/>
  <c r="P22" s="1"/>
  <c r="P39" s="1"/>
  <c r="G20"/>
  <c r="G19"/>
  <c r="L22" s="1"/>
  <c r="C13"/>
  <c r="C14"/>
  <c r="C6"/>
  <c r="C5"/>
  <c r="T39" i="4"/>
  <c r="T38"/>
  <c r="T24"/>
  <c r="T22"/>
  <c r="T19"/>
  <c r="U2" i="1"/>
  <c r="U3" s="1"/>
  <c r="C43" i="4"/>
  <c r="C57"/>
  <c r="N3" i="3"/>
  <c r="N4" s="1"/>
  <c r="D8" i="4"/>
  <c r="C34" s="1"/>
  <c r="E43"/>
  <c r="G43" s="1"/>
  <c r="L42" s="1"/>
  <c r="M42" s="1"/>
  <c r="N42" s="1"/>
  <c r="R10"/>
  <c r="R9" s="1"/>
  <c r="T9" s="1"/>
  <c r="Z13" s="1"/>
  <c r="S31"/>
  <c r="AB26"/>
  <c r="N25"/>
  <c r="H24"/>
  <c r="E56"/>
  <c r="E33"/>
  <c r="E42"/>
  <c r="G7"/>
  <c r="V10" s="1"/>
  <c r="D17"/>
  <c r="C13"/>
  <c r="C14"/>
  <c r="C15"/>
  <c r="C16"/>
  <c r="C17"/>
  <c r="C18"/>
  <c r="L17" i="3"/>
  <c r="C24" i="4"/>
  <c r="R19"/>
  <c r="K16" i="3"/>
  <c r="P8" i="2"/>
  <c r="Q8" s="1"/>
  <c r="S38" i="4" s="1"/>
  <c r="P9" i="2"/>
  <c r="Q9" s="1"/>
  <c r="S39" i="4" s="1"/>
  <c r="H32" i="3"/>
  <c r="L14"/>
  <c r="L18"/>
  <c r="H16"/>
  <c r="J15"/>
  <c r="K15" s="1"/>
  <c r="I8"/>
  <c r="L27" i="2" s="1"/>
  <c r="C12" i="3"/>
  <c r="D12"/>
  <c r="E12"/>
  <c r="C13"/>
  <c r="D13"/>
  <c r="E13"/>
  <c r="C14"/>
  <c r="D14"/>
  <c r="E14"/>
  <c r="C15"/>
  <c r="D15"/>
  <c r="E15"/>
  <c r="C16"/>
  <c r="D16"/>
  <c r="E16"/>
  <c r="C17"/>
  <c r="D17"/>
  <c r="E17"/>
  <c r="C18"/>
  <c r="D18"/>
  <c r="E18"/>
  <c r="C19"/>
  <c r="D19"/>
  <c r="E19"/>
  <c r="D11"/>
  <c r="E11"/>
  <c r="C11"/>
  <c r="C5"/>
  <c r="H15" s="1"/>
  <c r="D5"/>
  <c r="I15" s="1"/>
  <c r="E5"/>
  <c r="J16" s="1"/>
  <c r="D4"/>
  <c r="I18" s="1"/>
  <c r="E4"/>
  <c r="J18" s="1"/>
  <c r="C4"/>
  <c r="H18" s="1"/>
  <c r="I9" i="1"/>
  <c r="Q30"/>
  <c r="Q31"/>
  <c r="R30"/>
  <c r="B29"/>
  <c r="Q25"/>
  <c r="Q27"/>
  <c r="D3"/>
  <c r="D5"/>
  <c r="D7"/>
  <c r="H9"/>
  <c r="H3"/>
  <c r="M3"/>
  <c r="L40"/>
  <c r="H8"/>
  <c r="M10"/>
  <c r="W24"/>
  <c r="M18"/>
  <c r="S64"/>
  <c r="M17"/>
  <c r="S63"/>
  <c r="M13"/>
  <c r="M14"/>
  <c r="S60"/>
  <c r="H5"/>
  <c r="M19"/>
  <c r="M15"/>
  <c r="S61"/>
  <c r="M11"/>
  <c r="S57"/>
  <c r="M16"/>
  <c r="S62"/>
  <c r="M12"/>
  <c r="S58"/>
  <c r="H7"/>
  <c r="H4"/>
  <c r="H6"/>
  <c r="L26"/>
  <c r="R31"/>
  <c r="W11"/>
  <c r="W12" s="1"/>
  <c r="H12"/>
  <c r="M21" s="1"/>
  <c r="G9"/>
  <c r="K26"/>
  <c r="M6"/>
  <c r="W21"/>
  <c r="M7"/>
  <c r="W19"/>
  <c r="M5"/>
  <c r="S51"/>
  <c r="S59"/>
  <c r="M4"/>
  <c r="S65"/>
  <c r="W23"/>
  <c r="W20"/>
  <c r="W22"/>
  <c r="S49"/>
  <c r="H13"/>
  <c r="G12"/>
  <c r="G13" s="1"/>
  <c r="G5"/>
  <c r="L5"/>
  <c r="G3"/>
  <c r="G6"/>
  <c r="L6"/>
  <c r="K43"/>
  <c r="G7"/>
  <c r="L7"/>
  <c r="K44"/>
  <c r="G4"/>
  <c r="L4"/>
  <c r="G8"/>
  <c r="I8"/>
  <c r="L3"/>
  <c r="K40"/>
  <c r="I3"/>
  <c r="S50"/>
  <c r="L44"/>
  <c r="R43"/>
  <c r="L43"/>
  <c r="I4"/>
  <c r="I5"/>
  <c r="I7"/>
  <c r="I6"/>
  <c r="N4"/>
  <c r="O4"/>
  <c r="W25"/>
  <c r="W45"/>
  <c r="M40"/>
  <c r="W44"/>
  <c r="R42"/>
  <c r="M43"/>
  <c r="V23"/>
  <c r="V22"/>
  <c r="V21"/>
  <c r="R50"/>
  <c r="N5"/>
  <c r="O5"/>
  <c r="R51"/>
  <c r="T51"/>
  <c r="V20"/>
  <c r="V19"/>
  <c r="R49"/>
  <c r="L11"/>
  <c r="L15"/>
  <c r="L19"/>
  <c r="L14"/>
  <c r="L18"/>
  <c r="L13"/>
  <c r="L17"/>
  <c r="L12"/>
  <c r="L16"/>
  <c r="L10"/>
  <c r="X23"/>
  <c r="N6"/>
  <c r="O6"/>
  <c r="N7"/>
  <c r="O7"/>
  <c r="V11"/>
  <c r="V16" s="1"/>
  <c r="N3"/>
  <c r="O3"/>
  <c r="L21"/>
  <c r="N12"/>
  <c r="R58"/>
  <c r="N14"/>
  <c r="R60"/>
  <c r="N16"/>
  <c r="R62"/>
  <c r="N17"/>
  <c r="R63"/>
  <c r="N18"/>
  <c r="R64"/>
  <c r="N19"/>
  <c r="R65"/>
  <c r="N11"/>
  <c r="T57"/>
  <c r="L12" i="2"/>
  <c r="P28" s="1"/>
  <c r="R57" i="1"/>
  <c r="M44"/>
  <c r="R59"/>
  <c r="N13"/>
  <c r="N15"/>
  <c r="R61"/>
  <c r="O12"/>
  <c r="T58"/>
  <c r="L13" i="2"/>
  <c r="P29" s="1"/>
  <c r="T60" i="1"/>
  <c r="L15" i="2"/>
  <c r="P31" s="1"/>
  <c r="O14" i="1"/>
  <c r="O15"/>
  <c r="T61"/>
  <c r="L16" i="2"/>
  <c r="P32" s="1"/>
  <c r="T62" i="1"/>
  <c r="L17" i="2"/>
  <c r="P33" s="1"/>
  <c r="O16" i="1"/>
  <c r="O17"/>
  <c r="T63"/>
  <c r="L18" i="2"/>
  <c r="P34" s="1"/>
  <c r="T64" i="1"/>
  <c r="L19" i="2"/>
  <c r="P35" s="1"/>
  <c r="O18" i="1"/>
  <c r="O19"/>
  <c r="L20" i="2"/>
  <c r="P36" s="1"/>
  <c r="T65" i="1"/>
  <c r="O11"/>
  <c r="G14" i="2"/>
  <c r="R23" i="4" s="1"/>
  <c r="U23" s="1"/>
  <c r="Y23" i="1"/>
  <c r="I14" i="2"/>
  <c r="S23" i="4" s="1"/>
  <c r="T49" i="1"/>
  <c r="L4" i="2"/>
  <c r="M4" s="1"/>
  <c r="V45" i="1"/>
  <c r="T50"/>
  <c r="L5" i="2"/>
  <c r="M5" s="1"/>
  <c r="X22" i="1"/>
  <c r="X20"/>
  <c r="X21"/>
  <c r="V44"/>
  <c r="X19"/>
  <c r="V24"/>
  <c r="N10"/>
  <c r="O10"/>
  <c r="O13"/>
  <c r="T59"/>
  <c r="L14" i="2"/>
  <c r="P30" s="1"/>
  <c r="G10"/>
  <c r="I10" s="1"/>
  <c r="S19" i="4" s="1"/>
  <c r="Y19" i="1"/>
  <c r="G13" i="2"/>
  <c r="I13" s="1"/>
  <c r="S22" i="4" s="1"/>
  <c r="Y22" i="1"/>
  <c r="G12" i="2"/>
  <c r="I12" s="1"/>
  <c r="S21" i="4" s="1"/>
  <c r="Y21" i="1"/>
  <c r="G11" i="2"/>
  <c r="I11" s="1"/>
  <c r="S20" i="4" s="1"/>
  <c r="Y20" i="1"/>
  <c r="X45"/>
  <c r="Q43"/>
  <c r="S43"/>
  <c r="X24"/>
  <c r="X44"/>
  <c r="Q42"/>
  <c r="S42"/>
  <c r="V25"/>
  <c r="X25"/>
  <c r="G15" i="2"/>
  <c r="I15" s="1"/>
  <c r="S24" i="4" s="1"/>
  <c r="Y24" i="1"/>
  <c r="Y25"/>
  <c r="R21" i="4" l="1"/>
  <c r="U21" s="1"/>
  <c r="R38"/>
  <c r="U38" s="1"/>
  <c r="R24"/>
  <c r="U24" s="1"/>
  <c r="R22"/>
  <c r="R20"/>
  <c r="U20" s="1"/>
  <c r="R39"/>
  <c r="U39" s="1"/>
  <c r="U22"/>
  <c r="D10"/>
  <c r="U1" i="1"/>
  <c r="U4"/>
  <c r="N2" i="3"/>
  <c r="O2" s="1"/>
  <c r="O10" s="1"/>
  <c r="P10" s="1"/>
  <c r="Q10" s="1"/>
  <c r="I3" s="1"/>
  <c r="U19" i="4"/>
  <c r="E34"/>
  <c r="G34" s="1"/>
  <c r="L33" s="1"/>
  <c r="M33" s="1"/>
  <c r="N33" s="1"/>
  <c r="U31"/>
  <c r="U30" s="1"/>
  <c r="Z37" s="1"/>
  <c r="AA37" s="1"/>
  <c r="AB37" s="1"/>
  <c r="I24"/>
  <c r="Z36"/>
  <c r="Z15"/>
  <c r="AA15" s="1"/>
  <c r="AB15" s="1"/>
  <c r="Z17"/>
  <c r="AA17" s="1"/>
  <c r="AB17" s="1"/>
  <c r="Z19"/>
  <c r="AA19" s="1"/>
  <c r="AB19" s="1"/>
  <c r="AC19" s="1"/>
  <c r="Z21"/>
  <c r="Z23"/>
  <c r="AA23" s="1"/>
  <c r="AB23" s="1"/>
  <c r="AC23" s="1"/>
  <c r="Z25"/>
  <c r="AA25" s="1"/>
  <c r="AB25" s="1"/>
  <c r="Z14"/>
  <c r="AA14" s="1"/>
  <c r="AB14" s="1"/>
  <c r="Z16"/>
  <c r="AA16" s="1"/>
  <c r="AB16" s="1"/>
  <c r="Z18"/>
  <c r="AA18" s="1"/>
  <c r="AB18" s="1"/>
  <c r="Z20"/>
  <c r="AA20" s="1"/>
  <c r="AB20" s="1"/>
  <c r="AC20" s="1"/>
  <c r="Z22"/>
  <c r="AA22" s="1"/>
  <c r="AB22" s="1"/>
  <c r="AC22" s="1"/>
  <c r="Z24"/>
  <c r="AA24" s="1"/>
  <c r="AB24" s="1"/>
  <c r="AC24" s="1"/>
  <c r="Z26"/>
  <c r="T10"/>
  <c r="S30"/>
  <c r="C19"/>
  <c r="E24"/>
  <c r="E14"/>
  <c r="E13"/>
  <c r="E17"/>
  <c r="P37" i="2"/>
  <c r="R46" i="4" s="1"/>
  <c r="R48" s="1"/>
  <c r="U3" s="1"/>
  <c r="L21" i="2"/>
  <c r="K18" i="3"/>
  <c r="N33"/>
  <c r="I16"/>
  <c r="M18"/>
  <c r="I12" i="1"/>
  <c r="D33" i="4" s="1"/>
  <c r="I13" i="1"/>
  <c r="M26"/>
  <c r="K27"/>
  <c r="L27"/>
  <c r="N21"/>
  <c r="V13"/>
  <c r="W14"/>
  <c r="W16"/>
  <c r="W15"/>
  <c r="W13"/>
  <c r="W27"/>
  <c r="W43" s="1"/>
  <c r="V14"/>
  <c r="X11"/>
  <c r="V12"/>
  <c r="V15"/>
  <c r="Q4" i="3" l="1"/>
  <c r="R33" i="1"/>
  <c r="O21"/>
  <c r="C33" i="4"/>
  <c r="F33" s="1"/>
  <c r="G33" s="1"/>
  <c r="O33"/>
  <c r="Z38"/>
  <c r="AA38" s="1"/>
  <c r="AB38" s="1"/>
  <c r="AC38" s="1"/>
  <c r="Z34"/>
  <c r="AA34" s="1"/>
  <c r="AB34" s="1"/>
  <c r="Z39"/>
  <c r="AA39" s="1"/>
  <c r="AB39" s="1"/>
  <c r="AC39" s="1"/>
  <c r="Z35"/>
  <c r="AA35" s="1"/>
  <c r="AB35" s="1"/>
  <c r="AA13"/>
  <c r="AB13" s="1"/>
  <c r="AA36"/>
  <c r="AB36" s="1"/>
  <c r="AA21"/>
  <c r="AB21" s="1"/>
  <c r="AC21" s="1"/>
  <c r="E19"/>
  <c r="F24" s="1"/>
  <c r="C11" i="2"/>
  <c r="D42" i="4"/>
  <c r="O42" s="1"/>
  <c r="I15" i="1"/>
  <c r="C4" i="2"/>
  <c r="N32" i="3"/>
  <c r="W17" i="1"/>
  <c r="W28" s="1"/>
  <c r="L41"/>
  <c r="M27"/>
  <c r="K42"/>
  <c r="L42"/>
  <c r="R41" s="1"/>
  <c r="K41"/>
  <c r="X13"/>
  <c r="X16"/>
  <c r="V17"/>
  <c r="V27"/>
  <c r="V43" s="1"/>
  <c r="X14"/>
  <c r="X15"/>
  <c r="Y11"/>
  <c r="G4" i="2"/>
  <c r="R13" i="4" s="1"/>
  <c r="U13" s="1"/>
  <c r="X12" i="1"/>
  <c r="I9" i="3" l="1"/>
  <c r="I10" s="1"/>
  <c r="O15"/>
  <c r="O16"/>
  <c r="O18"/>
  <c r="C37" i="4"/>
  <c r="G24"/>
  <c r="T26" s="1"/>
  <c r="C27"/>
  <c r="C12" i="2"/>
  <c r="C42" i="4"/>
  <c r="E33" i="2"/>
  <c r="X17" i="1"/>
  <c r="X27"/>
  <c r="Y27" s="1"/>
  <c r="M42"/>
  <c r="M41"/>
  <c r="Q41"/>
  <c r="R52" s="1"/>
  <c r="X43"/>
  <c r="G9" i="2"/>
  <c r="Y16" i="1"/>
  <c r="Y13"/>
  <c r="G6" i="2"/>
  <c r="G5"/>
  <c r="R14" i="4" s="1"/>
  <c r="U14" s="1"/>
  <c r="Y12" i="1"/>
  <c r="Y15"/>
  <c r="G8" i="2"/>
  <c r="R17" i="4" s="1"/>
  <c r="U17" s="1"/>
  <c r="W29" i="1"/>
  <c r="S52"/>
  <c r="G7" i="2"/>
  <c r="R16" i="4" s="1"/>
  <c r="U16" s="1"/>
  <c r="Y14" i="1"/>
  <c r="V28"/>
  <c r="V29" s="1"/>
  <c r="V30" s="1"/>
  <c r="V31" s="1"/>
  <c r="V34" s="1"/>
  <c r="I4" i="2"/>
  <c r="S13" i="4" s="1"/>
  <c r="AC13" s="1"/>
  <c r="G16" i="2" l="1"/>
  <c r="R25" i="4" s="1"/>
  <c r="U25" s="1"/>
  <c r="F42"/>
  <c r="C49" s="1"/>
  <c r="S41" i="1"/>
  <c r="T52" s="1"/>
  <c r="L6" i="2" s="1"/>
  <c r="M6" s="1"/>
  <c r="I9"/>
  <c r="S18" i="4" s="1"/>
  <c r="AC18" s="1"/>
  <c r="R18"/>
  <c r="U18" s="1"/>
  <c r="I6" i="2"/>
  <c r="S15" i="4" s="1"/>
  <c r="AC15" s="1"/>
  <c r="R15"/>
  <c r="U15" s="1"/>
  <c r="X28" i="1"/>
  <c r="D6" i="3"/>
  <c r="C6"/>
  <c r="Y17" i="1"/>
  <c r="Y28" s="1"/>
  <c r="V36"/>
  <c r="V42"/>
  <c r="Q40" s="1"/>
  <c r="R53" s="1"/>
  <c r="V41"/>
  <c r="Q39" s="1"/>
  <c r="R54" s="1"/>
  <c r="I8" i="2"/>
  <c r="S17" i="4" s="1"/>
  <c r="AC17" s="1"/>
  <c r="I7" i="2"/>
  <c r="S16" i="4" s="1"/>
  <c r="AC16" s="1"/>
  <c r="W30" i="1"/>
  <c r="X29"/>
  <c r="I5" i="2"/>
  <c r="S14" i="4" s="1"/>
  <c r="AC14" s="1"/>
  <c r="I16" i="2" l="1"/>
  <c r="S25" i="4" s="1"/>
  <c r="AC25" s="1"/>
  <c r="E6" i="3"/>
  <c r="G42" i="4"/>
  <c r="C8" i="3"/>
  <c r="H14" s="1"/>
  <c r="C7"/>
  <c r="H17" s="1"/>
  <c r="W31" i="1"/>
  <c r="W34" s="1"/>
  <c r="X30"/>
  <c r="X31" s="1"/>
  <c r="H19" i="3" l="1"/>
  <c r="W36" i="1"/>
  <c r="X34"/>
  <c r="W41"/>
  <c r="W42"/>
  <c r="R39" l="1"/>
  <c r="X41"/>
  <c r="R40"/>
  <c r="X42"/>
  <c r="X36"/>
  <c r="Y34"/>
  <c r="Y36" s="1"/>
  <c r="G17" i="2"/>
  <c r="R26" i="4" s="1"/>
  <c r="I17" i="2" l="1"/>
  <c r="G18"/>
  <c r="H17" s="1"/>
  <c r="S53" i="1"/>
  <c r="S40"/>
  <c r="T53" s="1"/>
  <c r="S39"/>
  <c r="T54" s="1"/>
  <c r="S54"/>
  <c r="I18" i="2" l="1"/>
  <c r="S26" i="4"/>
  <c r="D8" i="3"/>
  <c r="I14" s="1"/>
  <c r="L7" i="2"/>
  <c r="M7" s="1"/>
  <c r="E7" i="3"/>
  <c r="J17" s="1"/>
  <c r="K17" s="1"/>
  <c r="L8" i="2"/>
  <c r="M8" s="1"/>
  <c r="E8" i="3"/>
  <c r="J14" s="1"/>
  <c r="D7"/>
  <c r="I17" s="1"/>
  <c r="H9" i="2"/>
  <c r="H11"/>
  <c r="H15"/>
  <c r="H13"/>
  <c r="H14"/>
  <c r="H10"/>
  <c r="H6"/>
  <c r="H12"/>
  <c r="H4"/>
  <c r="H8"/>
  <c r="H5"/>
  <c r="H16"/>
  <c r="H7"/>
  <c r="AC26" i="4" l="1"/>
  <c r="AC27" s="1"/>
  <c r="U26"/>
  <c r="U27" s="1"/>
  <c r="L9" i="2"/>
  <c r="I19" i="3"/>
  <c r="O14"/>
  <c r="N31"/>
  <c r="P7" i="2" s="1"/>
  <c r="O17" i="3"/>
  <c r="K14"/>
  <c r="M14"/>
  <c r="M17"/>
  <c r="J19"/>
  <c r="M9" i="2"/>
  <c r="G33" s="1"/>
  <c r="H18"/>
  <c r="S28" i="4" l="1"/>
  <c r="Q7" i="2"/>
  <c r="S37" i="4" s="1"/>
  <c r="AC37" s="1"/>
  <c r="R37"/>
  <c r="U37" s="1"/>
  <c r="O19" i="3"/>
  <c r="K19"/>
  <c r="H28" s="1"/>
  <c r="N30"/>
  <c r="P6" i="2" s="1"/>
  <c r="M19" i="3"/>
  <c r="Q6" i="2" l="1"/>
  <c r="S36" i="4" s="1"/>
  <c r="AC36" s="1"/>
  <c r="R36"/>
  <c r="U36" s="1"/>
  <c r="N29" i="3" l="1"/>
  <c r="P5" i="2" s="1"/>
  <c r="C54" i="4"/>
  <c r="D54" s="1"/>
  <c r="J28" i="3"/>
  <c r="H29"/>
  <c r="C55" i="4" s="1"/>
  <c r="P18" i="2"/>
  <c r="Q18" s="1"/>
  <c r="P19" l="1"/>
  <c r="Q19" s="1"/>
  <c r="D55" i="4"/>
  <c r="D56" s="1"/>
  <c r="F56" s="1"/>
  <c r="C60" s="1"/>
  <c r="O3" s="1"/>
  <c r="O7" s="1"/>
  <c r="I33" i="2" s="1"/>
  <c r="C56" i="4"/>
  <c r="J29" i="3"/>
  <c r="J30" s="1"/>
  <c r="Q5" i="2"/>
  <c r="S35" i="4" s="1"/>
  <c r="AC35" s="1"/>
  <c r="R35"/>
  <c r="U35" s="1"/>
  <c r="H30" i="3"/>
  <c r="N28"/>
  <c r="P4" i="2" s="1"/>
  <c r="Q20"/>
  <c r="E37" s="1"/>
  <c r="N35" i="3" l="1"/>
  <c r="E29" i="2"/>
  <c r="P20"/>
  <c r="N34" i="3"/>
  <c r="P10" i="2" s="1"/>
  <c r="Q4"/>
  <c r="R34" i="4"/>
  <c r="U34" s="1"/>
  <c r="U40" s="1"/>
  <c r="Q10" i="2" l="1"/>
  <c r="S34" i="4"/>
  <c r="AC34" s="1"/>
  <c r="AC40" l="1"/>
  <c r="S41" s="1"/>
  <c r="R3" s="1"/>
  <c r="R7" s="1"/>
  <c r="K33" i="2" s="1"/>
  <c r="G37"/>
  <c r="G29"/>
</calcChain>
</file>

<file path=xl/sharedStrings.xml><?xml version="1.0" encoding="utf-8"?>
<sst xmlns="http://schemas.openxmlformats.org/spreadsheetml/2006/main" count="756" uniqueCount="267">
  <si>
    <t>Basis</t>
  </si>
  <si>
    <t>Switchgrass</t>
  </si>
  <si>
    <t>Conversion:</t>
  </si>
  <si>
    <t>In Iowa</t>
  </si>
  <si>
    <t>tons/year</t>
  </si>
  <si>
    <t>tons/acre</t>
  </si>
  <si>
    <t>Switchgrass Mass Fraction</t>
  </si>
  <si>
    <t>C</t>
  </si>
  <si>
    <t>H</t>
  </si>
  <si>
    <t>O</t>
  </si>
  <si>
    <t>N</t>
  </si>
  <si>
    <t>S</t>
  </si>
  <si>
    <t>Ash</t>
  </si>
  <si>
    <t>1st Cut</t>
  </si>
  <si>
    <t>2nd Cut</t>
  </si>
  <si>
    <t>Date:</t>
  </si>
  <si>
    <t>Total</t>
  </si>
  <si>
    <t>1st cut</t>
  </si>
  <si>
    <t>2nd cut</t>
  </si>
  <si>
    <t>lb/year</t>
  </si>
  <si>
    <t>lb element/year</t>
  </si>
  <si>
    <t>lbmol/year</t>
  </si>
  <si>
    <t>Ash Composition</t>
  </si>
  <si>
    <t>Element</t>
  </si>
  <si>
    <t>Cl</t>
  </si>
  <si>
    <t>SiO2</t>
  </si>
  <si>
    <t>Al2O3</t>
  </si>
  <si>
    <t>Fe2O3</t>
  </si>
  <si>
    <t>MgO</t>
  </si>
  <si>
    <t>CaO</t>
  </si>
  <si>
    <t>Na2O</t>
  </si>
  <si>
    <t>K2O</t>
  </si>
  <si>
    <t>P2O5</t>
  </si>
  <si>
    <t>Ignition</t>
  </si>
  <si>
    <t>Elements</t>
  </si>
  <si>
    <t>Syngas Composition</t>
  </si>
  <si>
    <t>CO2</t>
  </si>
  <si>
    <t>CO</t>
  </si>
  <si>
    <t>H2</t>
  </si>
  <si>
    <t>CH4</t>
  </si>
  <si>
    <t>C2H4</t>
  </si>
  <si>
    <t>C2H6</t>
  </si>
  <si>
    <t>HHV</t>
  </si>
  <si>
    <t>(MJ/Nm3)</t>
  </si>
  <si>
    <t>Carbon Conversion</t>
  </si>
  <si>
    <t>%</t>
  </si>
  <si>
    <t>SynGas</t>
  </si>
  <si>
    <t>MW</t>
  </si>
  <si>
    <t>Temperature (R)</t>
  </si>
  <si>
    <t>g/m3</t>
  </si>
  <si>
    <t>Tar</t>
  </si>
  <si>
    <t>lb/ft3</t>
  </si>
  <si>
    <t>Mol Fract.</t>
  </si>
  <si>
    <t>Assume equal amount each cut</t>
  </si>
  <si>
    <t>R (ft3 psi/R lbmol)</t>
  </si>
  <si>
    <t>lb/hr</t>
  </si>
  <si>
    <t>lb/hr based off of design basis (~200000)  and 8000 hrs per year</t>
  </si>
  <si>
    <t>Inputs</t>
  </si>
  <si>
    <t>notes</t>
  </si>
  <si>
    <t>Colors</t>
  </si>
  <si>
    <t>Calculated Data</t>
  </si>
  <si>
    <t>H20</t>
  </si>
  <si>
    <t>Other components:</t>
  </si>
  <si>
    <t>H2S</t>
  </si>
  <si>
    <t>NH3</t>
  </si>
  <si>
    <t>HCl</t>
  </si>
  <si>
    <t>P (psi)</t>
  </si>
  <si>
    <t>COS</t>
  </si>
  <si>
    <t>HCN</t>
  </si>
  <si>
    <t>N2</t>
  </si>
  <si>
    <t>Moisture</t>
  </si>
  <si>
    <t>acres/yr</t>
  </si>
  <si>
    <t>Moisture %</t>
  </si>
  <si>
    <t>Dry</t>
  </si>
  <si>
    <t>With Moisture</t>
  </si>
  <si>
    <t>H2O</t>
  </si>
  <si>
    <t>Gasification book suggests 10-20% (Higman 69)</t>
  </si>
  <si>
    <t>Total other components</t>
  </si>
  <si>
    <t>Temperature (oC)</t>
  </si>
  <si>
    <t>Temperature (oF)</t>
  </si>
  <si>
    <t>Temperature K</t>
  </si>
  <si>
    <t>Tar Composition</t>
  </si>
  <si>
    <t>Mol %</t>
  </si>
  <si>
    <t xml:space="preserve">H </t>
  </si>
  <si>
    <t>lb fract.</t>
  </si>
  <si>
    <t>References</t>
  </si>
  <si>
    <t>Philips, S., Aden, A., Jechura, J., and Dayton, D., "Thermochemical Ethanol via Indirect Gasification and Mixed Alcohol Synthesis of Lignocellulosic Biomass" April 2007</t>
  </si>
  <si>
    <t>Higman, C., van der Burgt, M., "Gasification"</t>
  </si>
  <si>
    <t>(Higman 151)</t>
  </si>
  <si>
    <t>Steam Feed</t>
  </si>
  <si>
    <t>(Philips 21)</t>
  </si>
  <si>
    <t>lb/lbdry biomass</t>
  </si>
  <si>
    <t>Paiseley, Overend "The SilvaGas Process"</t>
  </si>
  <si>
    <t>(Paiseley 3)</t>
  </si>
  <si>
    <t>http://www.silvagas.com/advantages.htm</t>
  </si>
  <si>
    <t>(Paiseley 4)</t>
  </si>
  <si>
    <r>
      <rPr>
        <sz val="11"/>
        <color theme="1"/>
        <rFont val="Calibri"/>
        <family val="2"/>
        <scheme val="minor"/>
      </rPr>
      <t xml:space="preserve">Tar is C10H8 </t>
    </r>
    <r>
      <rPr>
        <b/>
        <sz val="11"/>
        <color indexed="8"/>
        <rFont val="Calibri"/>
        <family val="2"/>
      </rPr>
      <t xml:space="preserve">(Philips 22)  </t>
    </r>
  </si>
  <si>
    <r>
      <rPr>
        <sz val="11"/>
        <color theme="1"/>
        <rFont val="Calibri"/>
        <family val="2"/>
        <scheme val="minor"/>
      </rPr>
      <t>Syn Gas Comp.</t>
    </r>
    <r>
      <rPr>
        <b/>
        <sz val="11"/>
        <color indexed="8"/>
        <rFont val="Calibri"/>
        <family val="2"/>
      </rPr>
      <t>(Paiseley 3)</t>
    </r>
  </si>
  <si>
    <r>
      <t xml:space="preserve">No SOx </t>
    </r>
    <r>
      <rPr>
        <b/>
        <sz val="11"/>
        <color indexed="8"/>
        <rFont val="Calibri"/>
        <family val="2"/>
      </rPr>
      <t>(Silvagas.com)</t>
    </r>
  </si>
  <si>
    <t>To Char</t>
  </si>
  <si>
    <r>
      <rPr>
        <sz val="11"/>
        <color theme="1"/>
        <rFont val="Calibri"/>
        <family val="2"/>
        <scheme val="minor"/>
      </rPr>
      <t>8.3% S to char</t>
    </r>
    <r>
      <rPr>
        <b/>
        <sz val="11"/>
        <color indexed="8"/>
        <rFont val="Calibri"/>
        <family val="2"/>
      </rPr>
      <t xml:space="preserve"> (Philips 112)</t>
    </r>
  </si>
  <si>
    <r>
      <rPr>
        <sz val="11"/>
        <color theme="1"/>
        <rFont val="Calibri"/>
        <family val="2"/>
        <scheme val="minor"/>
      </rPr>
      <t>% S to char</t>
    </r>
    <r>
      <rPr>
        <b/>
        <sz val="11"/>
        <color indexed="8"/>
        <rFont val="Calibri"/>
        <family val="2"/>
      </rPr>
      <t xml:space="preserve"> (Philips 112)</t>
    </r>
  </si>
  <si>
    <r>
      <t xml:space="preserve">H2S/COS = 9 </t>
    </r>
    <r>
      <rPr>
        <b/>
        <sz val="11"/>
        <color indexed="8"/>
        <rFont val="Calibri"/>
        <family val="2"/>
      </rPr>
      <t xml:space="preserve"> (Higman 24)</t>
    </r>
  </si>
  <si>
    <r>
      <t xml:space="preserve">% N to char </t>
    </r>
    <r>
      <rPr>
        <b/>
        <sz val="11"/>
        <color indexed="8"/>
        <rFont val="Calibri"/>
        <family val="2"/>
      </rPr>
      <t>(Philips 112)</t>
    </r>
  </si>
  <si>
    <r>
      <t xml:space="preserve">% O to char; if deficit of O, combust H2O to send to char </t>
    </r>
    <r>
      <rPr>
        <b/>
        <sz val="11"/>
        <color indexed="8"/>
        <rFont val="Calibri"/>
        <family val="2"/>
      </rPr>
      <t>(Philips 112)</t>
    </r>
  </si>
  <si>
    <r>
      <t>No NOx</t>
    </r>
    <r>
      <rPr>
        <b/>
        <sz val="11"/>
        <color indexed="8"/>
        <rFont val="Calibri"/>
        <family val="2"/>
      </rPr>
      <t xml:space="preserve"> (Silvagas.com)</t>
    </r>
    <r>
      <rPr>
        <sz val="11"/>
        <color theme="1"/>
        <rFont val="Calibri"/>
        <family val="2"/>
        <scheme val="minor"/>
      </rPr>
      <t xml:space="preserve">  NH3 = 25% of N </t>
    </r>
    <r>
      <rPr>
        <b/>
        <sz val="11"/>
        <color indexed="8"/>
        <rFont val="Calibri"/>
        <family val="2"/>
      </rPr>
      <t>(Higman 24)</t>
    </r>
  </si>
  <si>
    <r>
      <t xml:space="preserve">6.6% to Char </t>
    </r>
    <r>
      <rPr>
        <b/>
        <sz val="11"/>
        <color indexed="8"/>
        <rFont val="Calibri"/>
        <family val="2"/>
      </rPr>
      <t>(Philips 112)</t>
    </r>
    <r>
      <rPr>
        <sz val="11"/>
        <color theme="1"/>
        <rFont val="Calibri"/>
        <family val="2"/>
        <scheme val="minor"/>
      </rPr>
      <t xml:space="preserve">; HCN = 10% of remaining N </t>
    </r>
    <r>
      <rPr>
        <b/>
        <sz val="11"/>
        <color indexed="8"/>
        <rFont val="Calibri"/>
        <family val="2"/>
      </rPr>
      <t xml:space="preserve">(Higman 24); </t>
    </r>
    <r>
      <rPr>
        <sz val="11"/>
        <color theme="1"/>
        <rFont val="Calibri"/>
        <family val="2"/>
        <scheme val="minor"/>
      </rPr>
      <t/>
    </r>
  </si>
  <si>
    <r>
      <t xml:space="preserve">All Chlorine to HCl </t>
    </r>
    <r>
      <rPr>
        <b/>
        <sz val="11"/>
        <color indexed="8"/>
        <rFont val="Calibri"/>
        <family val="2"/>
      </rPr>
      <t>(Silvagas.com)</t>
    </r>
  </si>
  <si>
    <t>Wet Composition</t>
  </si>
  <si>
    <t>(Philips 22)</t>
  </si>
  <si>
    <r>
      <t xml:space="preserve">Using wet ratio of CO to H2O </t>
    </r>
    <r>
      <rPr>
        <b/>
        <sz val="11"/>
        <color indexed="8"/>
        <rFont val="Calibri"/>
        <family val="2"/>
      </rPr>
      <t>(Philips 22)</t>
    </r>
  </si>
  <si>
    <t>w/out tar</t>
  </si>
  <si>
    <t>tar volume fract</t>
  </si>
  <si>
    <t>lbmol/ft3</t>
  </si>
  <si>
    <t>V (ft3)</t>
  </si>
  <si>
    <r>
      <t xml:space="preserve">remaining  N is elemental </t>
    </r>
    <r>
      <rPr>
        <b/>
        <sz val="11"/>
        <color indexed="8"/>
        <rFont val="Calibri"/>
        <family val="2"/>
      </rPr>
      <t>(Higman 24)</t>
    </r>
  </si>
  <si>
    <t>V tar (ft3)</t>
  </si>
  <si>
    <t>Tot. V (ft3)</t>
  </si>
  <si>
    <t>Total (no tar)</t>
  </si>
  <si>
    <r>
      <t>As C10H8</t>
    </r>
    <r>
      <rPr>
        <b/>
        <sz val="11"/>
        <color indexed="8"/>
        <rFont val="Calibri"/>
        <family val="2"/>
      </rPr>
      <t xml:space="preserve"> (Philips 22)</t>
    </r>
  </si>
  <si>
    <t>Ideal gas</t>
  </si>
  <si>
    <t>Ultimate Elemental Balance on Syn Gas</t>
  </si>
  <si>
    <t>Entering Elemental Balance</t>
  </si>
  <si>
    <t>&gt;&gt;&gt;&gt;&gt;&gt;&gt;&gt;&gt;&gt;</t>
  </si>
  <si>
    <t>IN - OUT w/out Char</t>
  </si>
  <si>
    <t>&lt;&lt;&lt;&lt;&lt;&lt;&lt;&lt;&lt;&lt;&lt;</t>
  </si>
  <si>
    <t>VVVVV</t>
  </si>
  <si>
    <t>Minimum O</t>
  </si>
  <si>
    <t>Actual O</t>
  </si>
  <si>
    <r>
      <t xml:space="preserve">Excess parsed in Char </t>
    </r>
    <r>
      <rPr>
        <b/>
        <sz val="11"/>
        <color indexed="8"/>
        <rFont val="Calibri"/>
        <family val="2"/>
      </rPr>
      <t>(Philips 112-113)</t>
    </r>
  </si>
  <si>
    <t>total</t>
  </si>
  <si>
    <t>Switchgrass Feed</t>
  </si>
  <si>
    <t>IN</t>
  </si>
  <si>
    <t>OUT</t>
  </si>
  <si>
    <t>Total w/tar</t>
  </si>
  <si>
    <t>Laser "Switchgrass Composition Methods"</t>
  </si>
  <si>
    <t>(Laser 7)</t>
  </si>
  <si>
    <t>(Laser 22)</t>
  </si>
  <si>
    <t>http://bioenergy.ornl.gov/papers/misc/switgrs.html</t>
  </si>
  <si>
    <t>(bioenergy.ornl)</t>
  </si>
  <si>
    <t>Other</t>
  </si>
  <si>
    <t>out of engine heay cap .28 btu/lboF</t>
  </si>
  <si>
    <t>figure steam coming at 500 F, 23</t>
  </si>
  <si>
    <t>save side 23 psi and 400 F to heat ex before gasifier</t>
  </si>
  <si>
    <t>1900 F</t>
  </si>
  <si>
    <t>400 is variaqble I can play w/</t>
  </si>
  <si>
    <t>go to 860 c</t>
  </si>
  <si>
    <t>20 degree approach</t>
  </si>
  <si>
    <t>From Gasifier Material</t>
  </si>
  <si>
    <t>Flue Gas</t>
  </si>
  <si>
    <t>Bain, R.L. "Material and Energy Balances for Methanol from Biomass using Biomass Gasifiers"</t>
  </si>
  <si>
    <t>Heat Cap.</t>
  </si>
  <si>
    <t>(Btu/lb/oF)</t>
  </si>
  <si>
    <t>(Bain 35)</t>
  </si>
  <si>
    <t>Feed</t>
  </si>
  <si>
    <t>(lb/lb dry biomass)</t>
  </si>
  <si>
    <t>Circulating SiO2</t>
  </si>
  <si>
    <t>Ratio</t>
  </si>
  <si>
    <t>Combuster</t>
  </si>
  <si>
    <t>Pressure (psia)</t>
  </si>
  <si>
    <t>Temperature R</t>
  </si>
  <si>
    <t>Temperature F</t>
  </si>
  <si>
    <t>Temperature C</t>
  </si>
  <si>
    <t>(Higman 150)</t>
  </si>
  <si>
    <t>Gasifier</t>
  </si>
  <si>
    <t>Temperature (R )</t>
  </si>
  <si>
    <t>Circulating  rate</t>
  </si>
  <si>
    <t>Heat (Btu/year)</t>
  </si>
  <si>
    <t>Basu, Prabir, "Combustion and Gasification in Fluidized Beds</t>
  </si>
  <si>
    <t>SO2</t>
  </si>
  <si>
    <t>Btu/lbmol</t>
  </si>
  <si>
    <t>H to H2O 742 kJ/gmol</t>
  </si>
  <si>
    <r>
      <t xml:space="preserve">S: Primarily to SO2 </t>
    </r>
    <r>
      <rPr>
        <b/>
        <sz val="11"/>
        <color theme="1"/>
        <rFont val="Calibri"/>
        <family val="2"/>
        <scheme val="minor"/>
      </rPr>
      <t>(Basu 155)</t>
    </r>
    <r>
      <rPr>
        <sz val="11"/>
        <color theme="1"/>
        <rFont val="Calibri"/>
        <family val="2"/>
        <scheme val="minor"/>
      </rPr>
      <t>; Releases 296 kJ/gmol</t>
    </r>
  </si>
  <si>
    <t>Air Introduced</t>
  </si>
  <si>
    <r>
      <t xml:space="preserve">C: Primarily CO2 </t>
    </r>
    <r>
      <rPr>
        <b/>
        <sz val="11"/>
        <color theme="1"/>
        <rFont val="Calibri"/>
        <family val="2"/>
        <scheme val="minor"/>
      </rPr>
      <t xml:space="preserve">(Basu 121);  </t>
    </r>
    <r>
      <rPr>
        <sz val="11"/>
        <color theme="1"/>
        <rFont val="Calibri"/>
        <family val="2"/>
        <scheme val="minor"/>
      </rPr>
      <t>393.77kJ/mol</t>
    </r>
  </si>
  <si>
    <t>1 kJ/kgmol =</t>
  </si>
  <si>
    <t>Formation</t>
  </si>
  <si>
    <t>cp</t>
  </si>
  <si>
    <t>Btu/lbmol oF</t>
  </si>
  <si>
    <t>http://www.engineeringtoolbox.com/spesific-heat-capacity-gases-d_159.html</t>
  </si>
  <si>
    <t>(reference #9)</t>
  </si>
  <si>
    <t>(Btu/year)</t>
  </si>
  <si>
    <t>Heating</t>
  </si>
  <si>
    <t>Btu/year</t>
  </si>
  <si>
    <t>O2</t>
  </si>
  <si>
    <t>T (F)</t>
  </si>
  <si>
    <t>T (R )</t>
  </si>
  <si>
    <t>P (psia)</t>
  </si>
  <si>
    <t xml:space="preserve">cp </t>
  </si>
  <si>
    <t>O for Formation</t>
  </si>
  <si>
    <t>Combustion</t>
  </si>
  <si>
    <t>air enters condensed and dry</t>
  </si>
  <si>
    <t>Total w/out N or S</t>
  </si>
  <si>
    <r>
      <t xml:space="preserve">N:NO ratio 6:75 </t>
    </r>
    <r>
      <rPr>
        <b/>
        <sz val="11"/>
        <color theme="1"/>
        <rFont val="Calibri"/>
        <family val="2"/>
        <scheme val="minor"/>
      </rPr>
      <t>(Basu 173</t>
    </r>
    <r>
      <rPr>
        <sz val="11"/>
        <color theme="1"/>
        <rFont val="Calibri"/>
        <family val="2"/>
        <scheme val="minor"/>
      </rPr>
      <t>); Releases 172 kJ/gmol for NO; forms NO2 w/ O2</t>
    </r>
  </si>
  <si>
    <t>NO2</t>
  </si>
  <si>
    <t>SiO2 Circulate rate</t>
  </si>
  <si>
    <t>Ash Tray</t>
  </si>
  <si>
    <t>Total (lb/year)</t>
  </si>
  <si>
    <t>Gasifier (lb/year)</t>
  </si>
  <si>
    <t>Combuster (lb/year)</t>
  </si>
  <si>
    <t>Total (lbmol/year)</t>
  </si>
  <si>
    <t>Total Heat Evolved</t>
  </si>
  <si>
    <t>Steam Feed to Gasifier</t>
  </si>
  <si>
    <t>Air Feed to Combustor</t>
  </si>
  <si>
    <t xml:space="preserve">Switchgrass </t>
  </si>
  <si>
    <t>Cp</t>
  </si>
  <si>
    <t>Kaliyan, Morey, "Strategies to Improve Durability of Switchgrass Briquettes"</t>
  </si>
  <si>
    <t>kJ/kg K</t>
  </si>
  <si>
    <t>Btu/lb</t>
  </si>
  <si>
    <t>Comp.</t>
  </si>
  <si>
    <t>No Oxygen or Nitrogen, Ash is inert.</t>
  </si>
  <si>
    <t>HHV elem</t>
  </si>
  <si>
    <r>
      <t xml:space="preserve">subtract HHV elements from HHV of fuel </t>
    </r>
    <r>
      <rPr>
        <b/>
        <sz val="11"/>
        <color theme="1"/>
        <rFont val="Calibri"/>
        <family val="2"/>
        <scheme val="minor"/>
      </rPr>
      <t>(Higman 15)</t>
    </r>
  </si>
  <si>
    <t>ΔHfo</t>
  </si>
  <si>
    <t>Sensible Heat</t>
  </si>
  <si>
    <t>Temperature (F)</t>
  </si>
  <si>
    <t>Temperature Gasifier (F)</t>
  </si>
  <si>
    <t>Standard</t>
  </si>
  <si>
    <t>psia</t>
  </si>
  <si>
    <t>Btu/lb F</t>
  </si>
  <si>
    <t>Switchgrass Cp (kJ/kg C)</t>
  </si>
  <si>
    <t>Assume:</t>
  </si>
  <si>
    <t>Switchgrass Heat In</t>
  </si>
  <si>
    <t>Sensible Heat plus Heat of Formation</t>
  </si>
  <si>
    <t>Minimum of Sat. Temp at p of gasifier</t>
  </si>
  <si>
    <t>Superheat to 300-400 C (572-752 F)</t>
  </si>
  <si>
    <t>Min. of 106 oC (222 F)</t>
  </si>
  <si>
    <t>kJ/mol</t>
  </si>
  <si>
    <t>Δhfo Steam</t>
  </si>
  <si>
    <t>Switchgrass Moisture Heat In</t>
  </si>
  <si>
    <t>1.0035 kJ/kg K spec heat cap Air</t>
  </si>
  <si>
    <t>Air Heat In</t>
  </si>
  <si>
    <t>Heat In</t>
  </si>
  <si>
    <t>Steam Feed Heat In</t>
  </si>
  <si>
    <t>http://test.sdsu.edu/testhome/Test/solve/basics/tables/tablesComb/formation-Eng.html</t>
  </si>
  <si>
    <t>A</t>
  </si>
  <si>
    <t>B</t>
  </si>
  <si>
    <t>D</t>
  </si>
  <si>
    <t>J/mol K</t>
  </si>
  <si>
    <t>T(K)</t>
  </si>
  <si>
    <t>Sensible H</t>
  </si>
  <si>
    <t>Smith, J. M., Van Ness, H.C., Abbott, M.M. "Introduction to Chemical Engineering Thermodynamics" 7th Ed.</t>
  </si>
  <si>
    <t>cp/R = A+BT+CT2+DT-2</t>
  </si>
  <si>
    <t>Heat Syngas Out</t>
  </si>
  <si>
    <t>T Flue Gas (F)</t>
  </si>
  <si>
    <t>Heat Flue Gas Out</t>
  </si>
  <si>
    <t>Heat Out</t>
  </si>
  <si>
    <t>T(F)</t>
  </si>
  <si>
    <t>T avg. (f)</t>
  </si>
  <si>
    <t>Tavg. (F)</t>
  </si>
  <si>
    <t>T (K)</t>
  </si>
  <si>
    <t>T Flue Gas (K)</t>
  </si>
  <si>
    <t>Tavg. (K)</t>
  </si>
  <si>
    <t>T Flue Gas</t>
  </si>
  <si>
    <t>T Switchgrass</t>
  </si>
  <si>
    <t>T Air</t>
  </si>
  <si>
    <t>T Steam</t>
  </si>
  <si>
    <t>oF</t>
  </si>
  <si>
    <t>T Syn Gas</t>
  </si>
  <si>
    <t>Excess Air</t>
  </si>
  <si>
    <t>T(K)low</t>
  </si>
  <si>
    <t>T (oF)</t>
  </si>
  <si>
    <t>cp (Btu/lb)</t>
  </si>
  <si>
    <t>cp taken from SiO2</t>
  </si>
  <si>
    <t>% Q out</t>
  </si>
  <si>
    <t>Heat Ash</t>
  </si>
  <si>
    <t>lb/lb dry biomass</t>
  </si>
</sst>
</file>

<file path=xl/styles.xml><?xml version="1.0" encoding="utf-8"?>
<styleSheet xmlns="http://schemas.openxmlformats.org/spreadsheetml/2006/main">
  <numFmts count="2">
    <numFmt numFmtId="168" formatCode="0.000E+00"/>
    <numFmt numFmtId="169" formatCode="0.0000E+00"/>
  </numFmts>
  <fonts count="7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43">
    <xf numFmtId="0" fontId="0" fillId="0" borderId="0" xfId="0"/>
    <xf numFmtId="0" fontId="0" fillId="0" borderId="1" xfId="0" applyBorder="1"/>
    <xf numFmtId="0" fontId="2" fillId="2" borderId="2" xfId="0" applyFont="1" applyFill="1" applyBorder="1"/>
    <xf numFmtId="0" fontId="0" fillId="2" borderId="3" xfId="0" applyFill="1" applyBorder="1"/>
    <xf numFmtId="0" fontId="2" fillId="2" borderId="4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2" fillId="2" borderId="11" xfId="0" applyFont="1" applyFill="1" applyBorder="1"/>
    <xf numFmtId="0" fontId="2" fillId="2" borderId="5" xfId="0" applyFont="1" applyFill="1" applyBorder="1"/>
    <xf numFmtId="0" fontId="0" fillId="2" borderId="12" xfId="0" applyFill="1" applyBorder="1"/>
    <xf numFmtId="0" fontId="0" fillId="0" borderId="5" xfId="0" applyBorder="1"/>
    <xf numFmtId="0" fontId="2" fillId="2" borderId="0" xfId="0" applyFont="1" applyFill="1"/>
    <xf numFmtId="11" fontId="2" fillId="2" borderId="4" xfId="0" applyNumberFormat="1" applyFont="1" applyFill="1" applyBorder="1"/>
    <xf numFmtId="11" fontId="0" fillId="2" borderId="5" xfId="0" applyNumberFormat="1" applyFill="1" applyBorder="1"/>
    <xf numFmtId="11" fontId="0" fillId="2" borderId="6" xfId="0" applyNumberFormat="1" applyFill="1" applyBorder="1"/>
    <xf numFmtId="11" fontId="0" fillId="2" borderId="0" xfId="0" applyNumberFormat="1" applyFill="1" applyBorder="1"/>
    <xf numFmtId="11" fontId="0" fillId="2" borderId="7" xfId="0" applyNumberFormat="1" applyFill="1" applyBorder="1"/>
    <xf numFmtId="11" fontId="0" fillId="2" borderId="8" xfId="0" applyNumberFormat="1" applyFill="1" applyBorder="1"/>
    <xf numFmtId="11" fontId="0" fillId="2" borderId="12" xfId="0" applyNumberFormat="1" applyFill="1" applyBorder="1"/>
    <xf numFmtId="11" fontId="0" fillId="2" borderId="13" xfId="0" applyNumberFormat="1" applyFill="1" applyBorder="1"/>
    <xf numFmtId="11" fontId="0" fillId="2" borderId="14" xfId="0" applyNumberFormat="1" applyFill="1" applyBorder="1"/>
    <xf numFmtId="11" fontId="0" fillId="2" borderId="9" xfId="0" applyNumberFormat="1" applyFill="1" applyBorder="1"/>
    <xf numFmtId="11" fontId="0" fillId="2" borderId="1" xfId="0" applyNumberFormat="1" applyFill="1" applyBorder="1"/>
    <xf numFmtId="11" fontId="0" fillId="2" borderId="15" xfId="0" applyNumberFormat="1" applyFill="1" applyBorder="1"/>
    <xf numFmtId="11" fontId="0" fillId="2" borderId="10" xfId="0" applyNumberFormat="1" applyFill="1" applyBorder="1"/>
    <xf numFmtId="11" fontId="0" fillId="2" borderId="16" xfId="0" applyNumberFormat="1" applyFill="1" applyBorder="1"/>
    <xf numFmtId="11" fontId="0" fillId="2" borderId="17" xfId="0" applyNumberFormat="1" applyFill="1" applyBorder="1"/>
    <xf numFmtId="11" fontId="2" fillId="2" borderId="18" xfId="0" applyNumberFormat="1" applyFont="1" applyFill="1" applyBorder="1"/>
    <xf numFmtId="11" fontId="0" fillId="2" borderId="19" xfId="0" applyNumberFormat="1" applyFill="1" applyBorder="1"/>
    <xf numFmtId="11" fontId="0" fillId="2" borderId="20" xfId="0" applyNumberFormat="1" applyFill="1" applyBorder="1"/>
    <xf numFmtId="11" fontId="0" fillId="2" borderId="21" xfId="0" applyNumberFormat="1" applyFill="1" applyBorder="1"/>
    <xf numFmtId="11" fontId="0" fillId="2" borderId="22" xfId="0" applyNumberFormat="1" applyFill="1" applyBorder="1"/>
    <xf numFmtId="0" fontId="0" fillId="2" borderId="2" xfId="0" applyFill="1" applyBorder="1"/>
    <xf numFmtId="0" fontId="3" fillId="3" borderId="0" xfId="0" applyFont="1" applyFill="1"/>
    <xf numFmtId="0" fontId="3" fillId="3" borderId="6" xfId="0" applyFont="1" applyFill="1" applyBorder="1"/>
    <xf numFmtId="0" fontId="0" fillId="4" borderId="23" xfId="0" applyFill="1" applyBorder="1"/>
    <xf numFmtId="0" fontId="0" fillId="4" borderId="24" xfId="0" applyFill="1" applyBorder="1"/>
    <xf numFmtId="0" fontId="0" fillId="4" borderId="25" xfId="0" applyFill="1" applyBorder="1"/>
    <xf numFmtId="0" fontId="0" fillId="4" borderId="26" xfId="0" applyFill="1" applyBorder="1"/>
    <xf numFmtId="0" fontId="2" fillId="3" borderId="0" xfId="0" applyFont="1" applyFill="1"/>
    <xf numFmtId="0" fontId="2" fillId="4" borderId="0" xfId="0" applyFont="1" applyFill="1"/>
    <xf numFmtId="0" fontId="2" fillId="4" borderId="2" xfId="0" applyFont="1" applyFill="1" applyBorder="1"/>
    <xf numFmtId="0" fontId="0" fillId="4" borderId="27" xfId="0" applyFill="1" applyBorder="1"/>
    <xf numFmtId="0" fontId="0" fillId="4" borderId="28" xfId="0" applyFill="1" applyBorder="1"/>
    <xf numFmtId="0" fontId="0" fillId="4" borderId="3" xfId="0" applyFill="1" applyBorder="1"/>
    <xf numFmtId="0" fontId="2" fillId="4" borderId="12" xfId="0" applyFont="1" applyFill="1" applyBorder="1"/>
    <xf numFmtId="0" fontId="0" fillId="4" borderId="14" xfId="0" applyFill="1" applyBorder="1"/>
    <xf numFmtId="0" fontId="2" fillId="4" borderId="23" xfId="0" applyFont="1" applyFill="1" applyBorder="1"/>
    <xf numFmtId="0" fontId="0" fillId="4" borderId="29" xfId="0" applyFill="1" applyBorder="1"/>
    <xf numFmtId="0" fontId="0" fillId="4" borderId="30" xfId="0" applyFill="1" applyBorder="1"/>
    <xf numFmtId="0" fontId="0" fillId="4" borderId="0" xfId="0" applyFill="1" applyBorder="1"/>
    <xf numFmtId="0" fontId="0" fillId="4" borderId="31" xfId="0" applyFill="1" applyBorder="1"/>
    <xf numFmtId="16" fontId="0" fillId="4" borderId="0" xfId="0" applyNumberFormat="1" applyFill="1" applyBorder="1"/>
    <xf numFmtId="16" fontId="0" fillId="4" borderId="31" xfId="0" applyNumberFormat="1" applyFill="1" applyBorder="1"/>
    <xf numFmtId="0" fontId="2" fillId="4" borderId="24" xfId="0" applyFont="1" applyFill="1" applyBorder="1"/>
    <xf numFmtId="0" fontId="2" fillId="3" borderId="14" xfId="0" applyFont="1" applyFill="1" applyBorder="1"/>
    <xf numFmtId="0" fontId="2" fillId="3" borderId="30" xfId="0" applyFont="1" applyFill="1" applyBorder="1"/>
    <xf numFmtId="0" fontId="0" fillId="3" borderId="0" xfId="0" applyFill="1" applyBorder="1"/>
    <xf numFmtId="0" fontId="0" fillId="3" borderId="31" xfId="0" applyFill="1" applyBorder="1"/>
    <xf numFmtId="0" fontId="0" fillId="3" borderId="32" xfId="0" applyFill="1" applyBorder="1"/>
    <xf numFmtId="0" fontId="0" fillId="3" borderId="26" xfId="0" applyFill="1" applyBorder="1"/>
    <xf numFmtId="0" fontId="2" fillId="0" borderId="0" xfId="0" applyFont="1" applyAlignment="1">
      <alignment horizontal="center"/>
    </xf>
    <xf numFmtId="11" fontId="0" fillId="0" borderId="0" xfId="0" applyNumberFormat="1"/>
    <xf numFmtId="0" fontId="2" fillId="2" borderId="7" xfId="0" applyFont="1" applyFill="1" applyBorder="1"/>
    <xf numFmtId="0" fontId="0" fillId="4" borderId="2" xfId="0" applyFill="1" applyBorder="1"/>
    <xf numFmtId="11" fontId="2" fillId="2" borderId="11" xfId="0" applyNumberFormat="1" applyFont="1" applyFill="1" applyBorder="1"/>
    <xf numFmtId="11" fontId="0" fillId="2" borderId="28" xfId="0" applyNumberFormat="1" applyFill="1" applyBorder="1"/>
    <xf numFmtId="11" fontId="0" fillId="2" borderId="33" xfId="0" applyNumberFormat="1" applyFill="1" applyBorder="1"/>
    <xf numFmtId="11" fontId="0" fillId="2" borderId="3" xfId="0" applyNumberFormat="1" applyFill="1" applyBorder="1"/>
    <xf numFmtId="11" fontId="0" fillId="2" borderId="2" xfId="0" applyNumberFormat="1" applyFill="1" applyBorder="1"/>
    <xf numFmtId="0" fontId="0" fillId="2" borderId="4" xfId="0" applyFill="1" applyBorder="1"/>
    <xf numFmtId="0" fontId="0" fillId="2" borderId="34" xfId="0" applyFill="1" applyBorder="1"/>
    <xf numFmtId="11" fontId="0" fillId="2" borderId="35" xfId="0" applyNumberFormat="1" applyFill="1" applyBorder="1"/>
    <xf numFmtId="0" fontId="0" fillId="3" borderId="3" xfId="0" applyFill="1" applyBorder="1"/>
    <xf numFmtId="0" fontId="0" fillId="4" borderId="0" xfId="0" applyFill="1"/>
    <xf numFmtId="11" fontId="0" fillId="2" borderId="36" xfId="0" applyNumberFormat="1" applyFill="1" applyBorder="1"/>
    <xf numFmtId="0" fontId="2" fillId="2" borderId="23" xfId="0" applyFont="1" applyFill="1" applyBorder="1"/>
    <xf numFmtId="11" fontId="0" fillId="2" borderId="25" xfId="0" applyNumberFormat="1" applyFill="1" applyBorder="1"/>
    <xf numFmtId="0" fontId="2" fillId="3" borderId="25" xfId="0" applyFont="1" applyFill="1" applyBorder="1"/>
    <xf numFmtId="0" fontId="0" fillId="3" borderId="37" xfId="0" applyFill="1" applyBorder="1"/>
    <xf numFmtId="0" fontId="2" fillId="3" borderId="38" xfId="0" applyFont="1" applyFill="1" applyBorder="1"/>
    <xf numFmtId="0" fontId="0" fillId="6" borderId="5" xfId="0" applyFill="1" applyBorder="1"/>
    <xf numFmtId="0" fontId="0" fillId="6" borderId="6" xfId="0" applyFill="1" applyBorder="1"/>
    <xf numFmtId="0" fontId="0" fillId="3" borderId="34" xfId="0" applyFill="1" applyBorder="1"/>
    <xf numFmtId="0" fontId="0" fillId="4" borderId="34" xfId="0" applyFill="1" applyBorder="1"/>
    <xf numFmtId="0" fontId="0" fillId="6" borderId="34" xfId="0" applyFill="1" applyBorder="1"/>
    <xf numFmtId="0" fontId="2" fillId="2" borderId="34" xfId="0" applyFont="1" applyFill="1" applyBorder="1"/>
    <xf numFmtId="0" fontId="0" fillId="4" borderId="32" xfId="0" applyFill="1" applyBorder="1"/>
    <xf numFmtId="0" fontId="0" fillId="2" borderId="39" xfId="0" applyFill="1" applyBorder="1"/>
    <xf numFmtId="0" fontId="0" fillId="2" borderId="37" xfId="0" applyFill="1" applyBorder="1"/>
    <xf numFmtId="0" fontId="2" fillId="2" borderId="0" xfId="0" applyFont="1" applyFill="1" applyBorder="1"/>
    <xf numFmtId="0" fontId="2" fillId="0" borderId="0" xfId="0" applyFont="1" applyFill="1" applyBorder="1"/>
    <xf numFmtId="0" fontId="0" fillId="0" borderId="0" xfId="0" applyFill="1" applyBorder="1"/>
    <xf numFmtId="11" fontId="0" fillId="0" borderId="0" xfId="0" applyNumberFormat="1" applyFill="1" applyBorder="1"/>
    <xf numFmtId="0" fontId="2" fillId="4" borderId="11" xfId="0" applyFont="1" applyFill="1" applyBorder="1"/>
    <xf numFmtId="0" fontId="0" fillId="4" borderId="40" xfId="0" applyFill="1" applyBorder="1"/>
    <xf numFmtId="0" fontId="0" fillId="4" borderId="41" xfId="0" applyFill="1" applyBorder="1"/>
    <xf numFmtId="0" fontId="0" fillId="4" borderId="6" xfId="0" applyFill="1" applyBorder="1"/>
    <xf numFmtId="0" fontId="0" fillId="4" borderId="20" xfId="0" applyFill="1" applyBorder="1"/>
    <xf numFmtId="0" fontId="0" fillId="4" borderId="21" xfId="0" applyFill="1" applyBorder="1"/>
    <xf numFmtId="0" fontId="2" fillId="3" borderId="22" xfId="0" applyFont="1" applyFill="1" applyBorder="1"/>
    <xf numFmtId="0" fontId="0" fillId="3" borderId="42" xfId="0" applyFill="1" applyBorder="1"/>
    <xf numFmtId="0" fontId="0" fillId="3" borderId="16" xfId="0" applyFill="1" applyBorder="1"/>
    <xf numFmtId="0" fontId="0" fillId="4" borderId="5" xfId="0" applyFill="1" applyBorder="1"/>
    <xf numFmtId="0" fontId="0" fillId="4" borderId="7" xfId="0" applyFill="1" applyBorder="1"/>
    <xf numFmtId="0" fontId="0" fillId="4" borderId="9" xfId="0" applyFill="1" applyBorder="1"/>
    <xf numFmtId="0" fontId="0" fillId="4" borderId="15" xfId="0" applyFill="1" applyBorder="1"/>
    <xf numFmtId="0" fontId="2" fillId="3" borderId="10" xfId="0" applyFont="1" applyFill="1" applyBorder="1"/>
    <xf numFmtId="0" fontId="2" fillId="0" borderId="0" xfId="0" applyFont="1"/>
    <xf numFmtId="0" fontId="0" fillId="0" borderId="4" xfId="0" applyBorder="1"/>
    <xf numFmtId="0" fontId="2" fillId="2" borderId="6" xfId="0" applyFont="1" applyFill="1" applyBorder="1"/>
    <xf numFmtId="0" fontId="2" fillId="2" borderId="10" xfId="0" applyFont="1" applyFill="1" applyBorder="1"/>
    <xf numFmtId="0" fontId="2" fillId="7" borderId="11" xfId="0" applyFont="1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0" xfId="0" applyFill="1" applyBorder="1"/>
    <xf numFmtId="0" fontId="0" fillId="7" borderId="7" xfId="0" applyFill="1" applyBorder="1"/>
    <xf numFmtId="11" fontId="0" fillId="7" borderId="16" xfId="0" applyNumberFormat="1" applyFill="1" applyBorder="1"/>
    <xf numFmtId="0" fontId="0" fillId="3" borderId="36" xfId="0" applyFill="1" applyBorder="1"/>
    <xf numFmtId="0" fontId="0" fillId="4" borderId="35" xfId="0" applyFill="1" applyBorder="1"/>
    <xf numFmtId="0" fontId="0" fillId="4" borderId="43" xfId="0" applyFill="1" applyBorder="1"/>
    <xf numFmtId="11" fontId="0" fillId="2" borderId="23" xfId="0" applyNumberFormat="1" applyFill="1" applyBorder="1"/>
    <xf numFmtId="11" fontId="0" fillId="2" borderId="29" xfId="0" applyNumberFormat="1" applyFill="1" applyBorder="1"/>
    <xf numFmtId="11" fontId="0" fillId="2" borderId="24" xfId="0" applyNumberFormat="1" applyFill="1" applyBorder="1"/>
    <xf numFmtId="11" fontId="0" fillId="2" borderId="32" xfId="0" applyNumberFormat="1" applyFill="1" applyBorder="1"/>
    <xf numFmtId="11" fontId="0" fillId="2" borderId="26" xfId="0" applyNumberFormat="1" applyFill="1" applyBorder="1"/>
    <xf numFmtId="0" fontId="2" fillId="3" borderId="34" xfId="0" applyFont="1" applyFill="1" applyBorder="1"/>
    <xf numFmtId="0" fontId="0" fillId="3" borderId="43" xfId="0" applyFill="1" applyBorder="1"/>
    <xf numFmtId="0" fontId="0" fillId="3" borderId="35" xfId="0" applyFill="1" applyBorder="1"/>
    <xf numFmtId="0" fontId="0" fillId="3" borderId="7" xfId="0" applyFill="1" applyBorder="1"/>
    <xf numFmtId="0" fontId="0" fillId="3" borderId="39" xfId="0" applyFill="1" applyBorder="1"/>
    <xf numFmtId="0" fontId="0" fillId="3" borderId="38" xfId="0" applyFill="1" applyBorder="1"/>
    <xf numFmtId="0" fontId="0" fillId="3" borderId="44" xfId="0" applyFill="1" applyBorder="1"/>
    <xf numFmtId="0" fontId="2" fillId="3" borderId="37" xfId="0" applyFont="1" applyFill="1" applyBorder="1"/>
    <xf numFmtId="0" fontId="2" fillId="3" borderId="45" xfId="0" applyFont="1" applyFill="1" applyBorder="1"/>
    <xf numFmtId="0" fontId="0" fillId="3" borderId="29" xfId="0" applyFill="1" applyBorder="1"/>
    <xf numFmtId="0" fontId="0" fillId="3" borderId="24" xfId="0" applyFill="1" applyBorder="1"/>
    <xf numFmtId="9" fontId="0" fillId="3" borderId="38" xfId="0" applyNumberFormat="1" applyFill="1" applyBorder="1"/>
    <xf numFmtId="0" fontId="2" fillId="3" borderId="6" xfId="0" applyFont="1" applyFill="1" applyBorder="1"/>
    <xf numFmtId="0" fontId="2" fillId="3" borderId="24" xfId="0" applyFont="1" applyFill="1" applyBorder="1"/>
    <xf numFmtId="0" fontId="0" fillId="2" borderId="30" xfId="0" applyFill="1" applyBorder="1"/>
    <xf numFmtId="11" fontId="0" fillId="2" borderId="31" xfId="0" applyNumberFormat="1" applyFill="1" applyBorder="1"/>
    <xf numFmtId="11" fontId="0" fillId="2" borderId="46" xfId="0" applyNumberFormat="1" applyFill="1" applyBorder="1"/>
    <xf numFmtId="11" fontId="0" fillId="2" borderId="47" xfId="0" applyNumberFormat="1" applyFill="1" applyBorder="1"/>
    <xf numFmtId="11" fontId="0" fillId="2" borderId="48" xfId="0" applyNumberFormat="1" applyFill="1" applyBorder="1"/>
    <xf numFmtId="11" fontId="0" fillId="6" borderId="7" xfId="0" applyNumberFormat="1" applyFill="1" applyBorder="1"/>
    <xf numFmtId="11" fontId="0" fillId="6" borderId="16" xfId="0" applyNumberFormat="1" applyFill="1" applyBorder="1"/>
    <xf numFmtId="11" fontId="0" fillId="2" borderId="49" xfId="0" applyNumberFormat="1" applyFill="1" applyBorder="1"/>
    <xf numFmtId="0" fontId="0" fillId="2" borderId="23" xfId="0" applyFill="1" applyBorder="1"/>
    <xf numFmtId="0" fontId="0" fillId="6" borderId="4" xfId="0" applyFill="1" applyBorder="1"/>
    <xf numFmtId="0" fontId="2" fillId="6" borderId="11" xfId="0" applyFont="1" applyFill="1" applyBorder="1"/>
    <xf numFmtId="11" fontId="0" fillId="7" borderId="23" xfId="0" applyNumberFormat="1" applyFill="1" applyBorder="1"/>
    <xf numFmtId="11" fontId="0" fillId="7" borderId="12" xfId="0" applyNumberFormat="1" applyFill="1" applyBorder="1"/>
    <xf numFmtId="11" fontId="0" fillId="7" borderId="13" xfId="0" applyNumberFormat="1" applyFill="1" applyBorder="1"/>
    <xf numFmtId="11" fontId="0" fillId="7" borderId="30" xfId="0" applyNumberFormat="1" applyFill="1" applyBorder="1"/>
    <xf numFmtId="11" fontId="0" fillId="7" borderId="14" xfId="0" applyNumberFormat="1" applyFill="1" applyBorder="1"/>
    <xf numFmtId="11" fontId="0" fillId="7" borderId="7" xfId="0" applyNumberFormat="1" applyFill="1" applyBorder="1"/>
    <xf numFmtId="0" fontId="0" fillId="7" borderId="10" xfId="0" applyFill="1" applyBorder="1"/>
    <xf numFmtId="11" fontId="0" fillId="7" borderId="50" xfId="0" applyNumberFormat="1" applyFill="1" applyBorder="1"/>
    <xf numFmtId="11" fontId="0" fillId="7" borderId="17" xfId="0" applyNumberFormat="1" applyFill="1" applyBorder="1"/>
    <xf numFmtId="0" fontId="2" fillId="7" borderId="7" xfId="0" applyFont="1" applyFill="1" applyBorder="1"/>
    <xf numFmtId="11" fontId="0" fillId="7" borderId="51" xfId="0" applyNumberFormat="1" applyFill="1" applyBorder="1"/>
    <xf numFmtId="0" fontId="0" fillId="4" borderId="38" xfId="0" applyFont="1" applyFill="1" applyBorder="1"/>
    <xf numFmtId="1" fontId="0" fillId="4" borderId="38" xfId="0" applyNumberFormat="1" applyFill="1" applyBorder="1"/>
    <xf numFmtId="11" fontId="0" fillId="7" borderId="0" xfId="0" applyNumberFormat="1" applyFill="1" applyBorder="1"/>
    <xf numFmtId="11" fontId="0" fillId="7" borderId="36" xfId="0" applyNumberFormat="1" applyFill="1" applyBorder="1"/>
    <xf numFmtId="0" fontId="0" fillId="7" borderId="39" xfId="0" applyFill="1" applyBorder="1"/>
    <xf numFmtId="11" fontId="0" fillId="7" borderId="38" xfId="0" applyNumberFormat="1" applyFill="1" applyBorder="1"/>
    <xf numFmtId="11" fontId="0" fillId="7" borderId="37" xfId="0" applyNumberFormat="1" applyFill="1" applyBorder="1"/>
    <xf numFmtId="11" fontId="0" fillId="2" borderId="52" xfId="0" applyNumberFormat="1" applyFill="1" applyBorder="1"/>
    <xf numFmtId="0" fontId="2" fillId="7" borderId="0" xfId="0" applyFont="1" applyFill="1" applyBorder="1"/>
    <xf numFmtId="11" fontId="2" fillId="2" borderId="7" xfId="0" applyNumberFormat="1" applyFont="1" applyFill="1" applyBorder="1"/>
    <xf numFmtId="11" fontId="2" fillId="2" borderId="14" xfId="0" applyNumberFormat="1" applyFont="1" applyFill="1" applyBorder="1"/>
    <xf numFmtId="0" fontId="2" fillId="7" borderId="4" xfId="0" applyFont="1" applyFill="1" applyBorder="1"/>
    <xf numFmtId="0" fontId="2" fillId="6" borderId="4" xfId="0" applyFont="1" applyFill="1" applyBorder="1"/>
    <xf numFmtId="0" fontId="0" fillId="6" borderId="8" xfId="0" applyFill="1" applyBorder="1"/>
    <xf numFmtId="0" fontId="0" fillId="2" borderId="44" xfId="0" applyFill="1" applyBorder="1"/>
    <xf numFmtId="0" fontId="2" fillId="6" borderId="27" xfId="0" applyFont="1" applyFill="1" applyBorder="1"/>
    <xf numFmtId="11" fontId="0" fillId="6" borderId="5" xfId="0" applyNumberFormat="1" applyFill="1" applyBorder="1"/>
    <xf numFmtId="0" fontId="2" fillId="6" borderId="34" xfId="0" applyFont="1" applyFill="1" applyBorder="1"/>
    <xf numFmtId="0" fontId="2" fillId="6" borderId="2" xfId="0" applyFont="1" applyFill="1" applyBorder="1"/>
    <xf numFmtId="11" fontId="0" fillId="2" borderId="55" xfId="0" applyNumberFormat="1" applyFill="1" applyBorder="1"/>
    <xf numFmtId="11" fontId="0" fillId="2" borderId="4" xfId="0" applyNumberFormat="1" applyFill="1" applyBorder="1"/>
    <xf numFmtId="11" fontId="0" fillId="2" borderId="56" xfId="0" applyNumberFormat="1" applyFill="1" applyBorder="1"/>
    <xf numFmtId="11" fontId="0" fillId="6" borderId="57" xfId="0" applyNumberFormat="1" applyFill="1" applyBorder="1"/>
    <xf numFmtId="11" fontId="0" fillId="6" borderId="3" xfId="0" applyNumberFormat="1" applyFill="1" applyBorder="1"/>
    <xf numFmtId="11" fontId="0" fillId="2" borderId="27" xfId="0" applyNumberFormat="1" applyFill="1" applyBorder="1"/>
    <xf numFmtId="11" fontId="0" fillId="6" borderId="28" xfId="0" applyNumberFormat="1" applyFill="1" applyBorder="1"/>
    <xf numFmtId="11" fontId="0" fillId="6" borderId="27" xfId="0" applyNumberFormat="1" applyFill="1" applyBorder="1"/>
    <xf numFmtId="11" fontId="0" fillId="6" borderId="33" xfId="0" applyNumberFormat="1" applyFill="1" applyBorder="1"/>
    <xf numFmtId="11" fontId="0" fillId="6" borderId="2" xfId="0" applyNumberFormat="1" applyFill="1" applyBorder="1"/>
    <xf numFmtId="11" fontId="0" fillId="5" borderId="3" xfId="0" applyNumberFormat="1" applyFill="1" applyBorder="1"/>
    <xf numFmtId="11" fontId="0" fillId="6" borderId="53" xfId="0" applyNumberFormat="1" applyFill="1" applyBorder="1"/>
    <xf numFmtId="0" fontId="2" fillId="5" borderId="2" xfId="0" applyFont="1" applyFill="1" applyBorder="1"/>
    <xf numFmtId="11" fontId="0" fillId="2" borderId="39" xfId="0" applyNumberFormat="1" applyFill="1" applyBorder="1"/>
    <xf numFmtId="0" fontId="2" fillId="2" borderId="22" xfId="0" applyFont="1" applyFill="1" applyBorder="1"/>
    <xf numFmtId="11" fontId="0" fillId="2" borderId="58" xfId="0" applyNumberFormat="1" applyFill="1" applyBorder="1"/>
    <xf numFmtId="0" fontId="0" fillId="2" borderId="18" xfId="0" applyFill="1" applyBorder="1"/>
    <xf numFmtId="0" fontId="2" fillId="6" borderId="2" xfId="0" applyFont="1" applyFill="1" applyBorder="1" applyAlignment="1">
      <alignment horizontal="center"/>
    </xf>
    <xf numFmtId="0" fontId="2" fillId="2" borderId="48" xfId="0" applyFont="1" applyFill="1" applyBorder="1"/>
    <xf numFmtId="11" fontId="0" fillId="2" borderId="35" xfId="0" applyNumberFormat="1" applyFont="1" applyFill="1" applyBorder="1"/>
    <xf numFmtId="0" fontId="2" fillId="2" borderId="18" xfId="0" applyFont="1" applyFill="1" applyBorder="1"/>
    <xf numFmtId="0" fontId="2" fillId="2" borderId="40" xfId="0" applyFont="1" applyFill="1" applyBorder="1"/>
    <xf numFmtId="11" fontId="0" fillId="2" borderId="34" xfId="0" applyNumberFormat="1" applyFont="1" applyFill="1" applyBorder="1"/>
    <xf numFmtId="11" fontId="0" fillId="2" borderId="53" xfId="0" applyNumberFormat="1" applyFont="1" applyFill="1" applyBorder="1"/>
    <xf numFmtId="0" fontId="2" fillId="0" borderId="11" xfId="0" applyFont="1" applyBorder="1"/>
    <xf numFmtId="11" fontId="2" fillId="6" borderId="2" xfId="0" applyNumberFormat="1" applyFont="1" applyFill="1" applyBorder="1"/>
    <xf numFmtId="11" fontId="0" fillId="6" borderId="53" xfId="0" applyNumberFormat="1" applyFont="1" applyFill="1" applyBorder="1"/>
    <xf numFmtId="0" fontId="2" fillId="2" borderId="3" xfId="0" applyFont="1" applyFill="1" applyBorder="1"/>
    <xf numFmtId="11" fontId="0" fillId="2" borderId="53" xfId="0" applyNumberFormat="1" applyFill="1" applyBorder="1"/>
    <xf numFmtId="11" fontId="2" fillId="2" borderId="27" xfId="0" applyNumberFormat="1" applyFont="1" applyFill="1" applyBorder="1"/>
    <xf numFmtId="0" fontId="0" fillId="0" borderId="14" xfId="0" applyFill="1" applyBorder="1"/>
    <xf numFmtId="9" fontId="0" fillId="0" borderId="0" xfId="0" applyNumberFormat="1"/>
    <xf numFmtId="0" fontId="2" fillId="4" borderId="4" xfId="0" applyFont="1" applyFill="1" applyBorder="1"/>
    <xf numFmtId="0" fontId="0" fillId="4" borderId="4" xfId="0" applyFill="1" applyBorder="1"/>
    <xf numFmtId="0" fontId="2" fillId="4" borderId="0" xfId="0" applyFont="1" applyFill="1" applyBorder="1"/>
    <xf numFmtId="0" fontId="0" fillId="4" borderId="10" xfId="0" applyFill="1" applyBorder="1"/>
    <xf numFmtId="0" fontId="0" fillId="8" borderId="6" xfId="0" applyFill="1" applyBorder="1"/>
    <xf numFmtId="0" fontId="0" fillId="3" borderId="6" xfId="0" applyFill="1" applyBorder="1"/>
    <xf numFmtId="0" fontId="0" fillId="3" borderId="0" xfId="0" applyFill="1"/>
    <xf numFmtId="0" fontId="0" fillId="2" borderId="11" xfId="0" applyFill="1" applyBorder="1"/>
    <xf numFmtId="0" fontId="0" fillId="9" borderId="4" xfId="0" applyFill="1" applyBorder="1"/>
    <xf numFmtId="0" fontId="0" fillId="9" borderId="5" xfId="0" applyFill="1" applyBorder="1"/>
    <xf numFmtId="0" fontId="0" fillId="9" borderId="7" xfId="0" applyFill="1" applyBorder="1"/>
    <xf numFmtId="11" fontId="0" fillId="0" borderId="36" xfId="0" applyNumberFormat="1" applyBorder="1"/>
    <xf numFmtId="0" fontId="0" fillId="4" borderId="11" xfId="0" applyFill="1" applyBorder="1"/>
    <xf numFmtId="0" fontId="0" fillId="4" borderId="36" xfId="0" applyFill="1" applyBorder="1"/>
    <xf numFmtId="0" fontId="0" fillId="4" borderId="16" xfId="0" applyFill="1" applyBorder="1"/>
    <xf numFmtId="0" fontId="0" fillId="9" borderId="11" xfId="0" applyFill="1" applyBorder="1"/>
    <xf numFmtId="0" fontId="0" fillId="9" borderId="10" xfId="0" applyFill="1" applyBorder="1"/>
    <xf numFmtId="0" fontId="0" fillId="9" borderId="36" xfId="0" applyFill="1" applyBorder="1"/>
    <xf numFmtId="0" fontId="0" fillId="9" borderId="16" xfId="0" applyFill="1" applyBorder="1"/>
    <xf numFmtId="0" fontId="0" fillId="9" borderId="35" xfId="0" applyFill="1" applyBorder="1"/>
    <xf numFmtId="0" fontId="0" fillId="2" borderId="35" xfId="0" applyFill="1" applyBorder="1"/>
    <xf numFmtId="11" fontId="0" fillId="2" borderId="43" xfId="0" applyNumberFormat="1" applyFill="1" applyBorder="1"/>
    <xf numFmtId="0" fontId="2" fillId="2" borderId="27" xfId="0" applyFont="1" applyFill="1" applyBorder="1"/>
    <xf numFmtId="11" fontId="0" fillId="0" borderId="27" xfId="0" applyNumberFormat="1" applyBorder="1"/>
    <xf numFmtId="0" fontId="0" fillId="9" borderId="6" xfId="0" applyFill="1" applyBorder="1"/>
    <xf numFmtId="0" fontId="0" fillId="2" borderId="27" xfId="0" applyFill="1" applyBorder="1"/>
    <xf numFmtId="0" fontId="4" fillId="3" borderId="0" xfId="0" applyFont="1" applyFill="1"/>
    <xf numFmtId="0" fontId="2" fillId="4" borderId="27" xfId="0" applyFont="1" applyFill="1" applyBorder="1"/>
    <xf numFmtId="0" fontId="0" fillId="0" borderId="27" xfId="0" applyBorder="1"/>
    <xf numFmtId="11" fontId="0" fillId="4" borderId="53" xfId="0" applyNumberFormat="1" applyFill="1" applyBorder="1"/>
    <xf numFmtId="11" fontId="0" fillId="0" borderId="53" xfId="0" applyNumberFormat="1" applyFill="1" applyBorder="1"/>
    <xf numFmtId="0" fontId="5" fillId="0" borderId="0" xfId="1" applyAlignment="1" applyProtection="1"/>
    <xf numFmtId="0" fontId="0" fillId="9" borderId="0" xfId="0" applyFill="1" applyBorder="1"/>
    <xf numFmtId="0" fontId="0" fillId="4" borderId="7" xfId="0" applyNumberFormat="1" applyFill="1" applyBorder="1"/>
    <xf numFmtId="11" fontId="0" fillId="0" borderId="35" xfId="0" applyNumberFormat="1" applyBorder="1"/>
    <xf numFmtId="0" fontId="2" fillId="10" borderId="11" xfId="0" applyFont="1" applyFill="1" applyBorder="1"/>
    <xf numFmtId="0" fontId="2" fillId="10" borderId="2" xfId="0" applyFont="1" applyFill="1" applyBorder="1"/>
    <xf numFmtId="0" fontId="0" fillId="10" borderId="6" xfId="0" applyFill="1" applyBorder="1"/>
    <xf numFmtId="0" fontId="2" fillId="10" borderId="27" xfId="0" applyFont="1" applyFill="1" applyBorder="1"/>
    <xf numFmtId="0" fontId="0" fillId="10" borderId="8" xfId="0" applyFill="1" applyBorder="1"/>
    <xf numFmtId="2" fontId="0" fillId="10" borderId="28" xfId="0" applyNumberFormat="1" applyFill="1" applyBorder="1"/>
    <xf numFmtId="11" fontId="0" fillId="10" borderId="28" xfId="0" applyNumberFormat="1" applyFill="1" applyBorder="1"/>
    <xf numFmtId="2" fontId="0" fillId="10" borderId="27" xfId="0" applyNumberFormat="1" applyFill="1" applyBorder="1"/>
    <xf numFmtId="11" fontId="0" fillId="10" borderId="27" xfId="0" applyNumberFormat="1" applyFill="1" applyBorder="1"/>
    <xf numFmtId="0" fontId="0" fillId="10" borderId="9" xfId="0" applyFill="1" applyBorder="1"/>
    <xf numFmtId="2" fontId="0" fillId="10" borderId="33" xfId="0" applyNumberFormat="1" applyFill="1" applyBorder="1"/>
    <xf numFmtId="0" fontId="0" fillId="10" borderId="44" xfId="0" applyFill="1" applyBorder="1"/>
    <xf numFmtId="2" fontId="0" fillId="10" borderId="54" xfId="0" applyNumberFormat="1" applyFill="1" applyBorder="1"/>
    <xf numFmtId="11" fontId="0" fillId="10" borderId="54" xfId="0" applyNumberFormat="1" applyFill="1" applyBorder="1"/>
    <xf numFmtId="2" fontId="0" fillId="10" borderId="53" xfId="0" applyNumberFormat="1" applyFill="1" applyBorder="1"/>
    <xf numFmtId="11" fontId="0" fillId="10" borderId="53" xfId="0" applyNumberFormat="1" applyFill="1" applyBorder="1"/>
    <xf numFmtId="0" fontId="2" fillId="10" borderId="34" xfId="0" applyFont="1" applyFill="1" applyBorder="1"/>
    <xf numFmtId="11" fontId="0" fillId="10" borderId="3" xfId="0" applyNumberFormat="1" applyFill="1" applyBorder="1"/>
    <xf numFmtId="0" fontId="2" fillId="7" borderId="34" xfId="0" applyFont="1" applyFill="1" applyBorder="1"/>
    <xf numFmtId="11" fontId="0" fillId="7" borderId="43" xfId="0" applyNumberFormat="1" applyFill="1" applyBorder="1"/>
    <xf numFmtId="0" fontId="0" fillId="10" borderId="11" xfId="0" applyFill="1" applyBorder="1"/>
    <xf numFmtId="0" fontId="2" fillId="10" borderId="5" xfId="0" applyFont="1" applyFill="1" applyBorder="1"/>
    <xf numFmtId="11" fontId="0" fillId="10" borderId="6" xfId="0" applyNumberFormat="1" applyFill="1" applyBorder="1"/>
    <xf numFmtId="0" fontId="2" fillId="10" borderId="7" xfId="0" applyFont="1" applyFill="1" applyBorder="1"/>
    <xf numFmtId="11" fontId="0" fillId="10" borderId="7" xfId="0" applyNumberFormat="1" applyFill="1" applyBorder="1"/>
    <xf numFmtId="11" fontId="0" fillId="10" borderId="43" xfId="0" applyNumberFormat="1" applyFill="1" applyBorder="1"/>
    <xf numFmtId="0" fontId="2" fillId="8" borderId="11" xfId="0" applyFont="1" applyFill="1" applyBorder="1"/>
    <xf numFmtId="0" fontId="2" fillId="8" borderId="5" xfId="0" applyFont="1" applyFill="1" applyBorder="1"/>
    <xf numFmtId="0" fontId="2" fillId="8" borderId="10" xfId="0" applyFont="1" applyFill="1" applyBorder="1"/>
    <xf numFmtId="11" fontId="0" fillId="8" borderId="16" xfId="0" applyNumberFormat="1" applyFill="1" applyBorder="1"/>
    <xf numFmtId="0" fontId="2" fillId="6" borderId="5" xfId="0" applyFont="1" applyFill="1" applyBorder="1"/>
    <xf numFmtId="0" fontId="2" fillId="6" borderId="10" xfId="0" applyFont="1" applyFill="1" applyBorder="1"/>
    <xf numFmtId="11" fontId="0" fillId="6" borderId="36" xfId="0" applyNumberFormat="1" applyFill="1" applyBorder="1"/>
    <xf numFmtId="0" fontId="2" fillId="8" borderId="7" xfId="0" applyFont="1" applyFill="1" applyBorder="1"/>
    <xf numFmtId="11" fontId="0" fillId="8" borderId="7" xfId="0" applyNumberFormat="1" applyFill="1" applyBorder="1"/>
    <xf numFmtId="0" fontId="0" fillId="8" borderId="10" xfId="0" applyFill="1" applyBorder="1"/>
    <xf numFmtId="0" fontId="2" fillId="8" borderId="2" xfId="0" applyFont="1" applyFill="1" applyBorder="1"/>
    <xf numFmtId="0" fontId="2" fillId="8" borderId="27" xfId="0" applyFont="1" applyFill="1" applyBorder="1"/>
    <xf numFmtId="11" fontId="0" fillId="8" borderId="27" xfId="0" applyNumberFormat="1" applyFill="1" applyBorder="1"/>
    <xf numFmtId="11" fontId="0" fillId="8" borderId="3" xfId="0" applyNumberFormat="1" applyFill="1" applyBorder="1"/>
    <xf numFmtId="0" fontId="2" fillId="8" borderId="34" xfId="0" applyFont="1" applyFill="1" applyBorder="1"/>
    <xf numFmtId="11" fontId="0" fillId="10" borderId="2" xfId="0" applyNumberFormat="1" applyFill="1" applyBorder="1"/>
    <xf numFmtId="0" fontId="0" fillId="10" borderId="34" xfId="0" applyFill="1" applyBorder="1"/>
    <xf numFmtId="0" fontId="0" fillId="0" borderId="3" xfId="0" applyBorder="1"/>
    <xf numFmtId="0" fontId="0" fillId="10" borderId="3" xfId="0" applyFill="1" applyBorder="1"/>
    <xf numFmtId="11" fontId="2" fillId="10" borderId="3" xfId="0" applyNumberFormat="1" applyFont="1" applyFill="1" applyBorder="1"/>
    <xf numFmtId="11" fontId="2" fillId="10" borderId="53" xfId="0" applyNumberFormat="1" applyFont="1" applyFill="1" applyBorder="1"/>
    <xf numFmtId="0" fontId="2" fillId="10" borderId="10" xfId="0" applyFont="1" applyFill="1" applyBorder="1"/>
    <xf numFmtId="11" fontId="0" fillId="3" borderId="6" xfId="0" applyNumberFormat="1" applyFill="1" applyBorder="1"/>
    <xf numFmtId="0" fontId="0" fillId="0" borderId="0" xfId="0" applyFill="1"/>
    <xf numFmtId="11" fontId="0" fillId="4" borderId="36" xfId="0" applyNumberFormat="1" applyFill="1" applyBorder="1"/>
    <xf numFmtId="11" fontId="0" fillId="2" borderId="11" xfId="0" applyNumberFormat="1" applyFill="1" applyBorder="1"/>
    <xf numFmtId="11" fontId="2" fillId="2" borderId="34" xfId="0" applyNumberFormat="1" applyFont="1" applyFill="1" applyBorder="1"/>
    <xf numFmtId="0" fontId="2" fillId="4" borderId="3" xfId="0" applyFont="1" applyFill="1" applyBorder="1"/>
    <xf numFmtId="0" fontId="0" fillId="2" borderId="36" xfId="0" applyFill="1" applyBorder="1"/>
    <xf numFmtId="0" fontId="6" fillId="4" borderId="16" xfId="0" applyFont="1" applyFill="1" applyBorder="1"/>
    <xf numFmtId="0" fontId="0" fillId="7" borderId="34" xfId="0" applyFill="1" applyBorder="1"/>
    <xf numFmtId="0" fontId="0" fillId="2" borderId="43" xfId="0" applyFill="1" applyBorder="1"/>
    <xf numFmtId="0" fontId="0" fillId="6" borderId="16" xfId="0" applyFill="1" applyBorder="1"/>
    <xf numFmtId="0" fontId="0" fillId="2" borderId="16" xfId="0" applyFill="1" applyBorder="1"/>
    <xf numFmtId="0" fontId="0" fillId="4" borderId="53" xfId="0" applyFill="1" applyBorder="1"/>
    <xf numFmtId="0" fontId="2" fillId="2" borderId="16" xfId="0" applyFont="1" applyFill="1" applyBorder="1"/>
    <xf numFmtId="0" fontId="2" fillId="7" borderId="35" xfId="0" applyFont="1" applyFill="1" applyBorder="1"/>
    <xf numFmtId="0" fontId="0" fillId="0" borderId="2" xfId="0" applyBorder="1"/>
    <xf numFmtId="0" fontId="0" fillId="9" borderId="34" xfId="0" applyFill="1" applyBorder="1"/>
    <xf numFmtId="0" fontId="0" fillId="9" borderId="43" xfId="0" applyFill="1" applyBorder="1"/>
    <xf numFmtId="168" fontId="0" fillId="7" borderId="43" xfId="0" applyNumberFormat="1" applyFill="1" applyBorder="1"/>
    <xf numFmtId="11" fontId="2" fillId="8" borderId="11" xfId="0" applyNumberFormat="1" applyFont="1" applyFill="1" applyBorder="1"/>
    <xf numFmtId="0" fontId="0" fillId="8" borderId="2" xfId="0" applyFill="1" applyBorder="1"/>
    <xf numFmtId="11" fontId="0" fillId="8" borderId="6" xfId="0" applyNumberFormat="1" applyFill="1" applyBorder="1"/>
    <xf numFmtId="11" fontId="2" fillId="8" borderId="22" xfId="0" applyNumberFormat="1" applyFont="1" applyFill="1" applyBorder="1"/>
    <xf numFmtId="11" fontId="2" fillId="8" borderId="54" xfId="0" applyNumberFormat="1" applyFont="1" applyFill="1" applyBorder="1"/>
    <xf numFmtId="0" fontId="0" fillId="8" borderId="3" xfId="0" applyFill="1" applyBorder="1"/>
    <xf numFmtId="0" fontId="2" fillId="8" borderId="53" xfId="0" applyFont="1" applyFill="1" applyBorder="1"/>
    <xf numFmtId="0" fontId="2" fillId="8" borderId="3" xfId="0" applyFont="1" applyFill="1" applyBorder="1"/>
    <xf numFmtId="0" fontId="2" fillId="8" borderId="8" xfId="0" applyFont="1" applyFill="1" applyBorder="1"/>
    <xf numFmtId="0" fontId="2" fillId="8" borderId="22" xfId="0" applyFont="1" applyFill="1" applyBorder="1"/>
    <xf numFmtId="11" fontId="2" fillId="8" borderId="28" xfId="0" applyNumberFormat="1" applyFont="1" applyFill="1" applyBorder="1"/>
    <xf numFmtId="11" fontId="2" fillId="8" borderId="53" xfId="0" applyNumberFormat="1" applyFont="1" applyFill="1" applyBorder="1"/>
    <xf numFmtId="11" fontId="0" fillId="10" borderId="33" xfId="0" applyNumberFormat="1" applyFill="1" applyBorder="1"/>
    <xf numFmtId="11" fontId="0" fillId="10" borderId="57" xfId="0" applyNumberFormat="1" applyFill="1" applyBorder="1"/>
    <xf numFmtId="0" fontId="2" fillId="10" borderId="53" xfId="0" applyFont="1" applyFill="1" applyBorder="1"/>
    <xf numFmtId="0" fontId="2" fillId="10" borderId="3" xfId="0" applyFont="1" applyFill="1" applyBorder="1"/>
    <xf numFmtId="0" fontId="2" fillId="6" borderId="53" xfId="0" applyFont="1" applyFill="1" applyBorder="1"/>
    <xf numFmtId="0" fontId="2" fillId="6" borderId="3" xfId="0" applyFont="1" applyFill="1" applyBorder="1"/>
    <xf numFmtId="11" fontId="2" fillId="8" borderId="16" xfId="0" applyNumberFormat="1" applyFont="1" applyFill="1" applyBorder="1"/>
    <xf numFmtId="0" fontId="0" fillId="2" borderId="0" xfId="0" applyFont="1" applyFill="1" applyBorder="1"/>
    <xf numFmtId="0" fontId="0" fillId="6" borderId="36" xfId="0" applyFill="1" applyBorder="1"/>
    <xf numFmtId="169" fontId="0" fillId="7" borderId="43" xfId="0" applyNumberForma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ngineeringtoolbox.com/spesific-heat-capacity-gases-d_159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ngineeringtoolbox.com/spesific-heat-capacity-gases-d_159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65"/>
  <sheetViews>
    <sheetView zoomScale="80" zoomScaleNormal="80" workbookViewId="0">
      <selection activeCell="Q3" sqref="Q3"/>
    </sheetView>
  </sheetViews>
  <sheetFormatPr defaultRowHeight="15"/>
  <cols>
    <col min="2" max="2" width="11" customWidth="1"/>
    <col min="3" max="3" width="15.7109375" customWidth="1"/>
    <col min="4" max="4" width="10.5703125" customWidth="1"/>
    <col min="7" max="8" width="11" bestFit="1" customWidth="1"/>
    <col min="9" max="9" width="9.28515625" bestFit="1" customWidth="1"/>
    <col min="10" max="10" width="12.140625" customWidth="1"/>
    <col min="11" max="11" width="10" bestFit="1" customWidth="1"/>
    <col min="13" max="13" width="10" bestFit="1" customWidth="1"/>
    <col min="14" max="14" width="9.28515625" bestFit="1" customWidth="1"/>
    <col min="16" max="16" width="11" bestFit="1" customWidth="1"/>
    <col min="17" max="17" width="12" bestFit="1" customWidth="1"/>
    <col min="18" max="18" width="9.28515625" bestFit="1" customWidth="1"/>
    <col min="19" max="19" width="11" bestFit="1" customWidth="1"/>
    <col min="20" max="20" width="12.28515625" bestFit="1" customWidth="1"/>
    <col min="21" max="21" width="14" customWidth="1"/>
    <col min="22" max="22" width="12" bestFit="1" customWidth="1"/>
    <col min="24" max="24" width="9.28515625" bestFit="1" customWidth="1"/>
    <col min="25" max="25" width="12" bestFit="1" customWidth="1"/>
    <col min="26" max="26" width="10" bestFit="1" customWidth="1"/>
    <col min="27" max="27" width="12" bestFit="1" customWidth="1"/>
  </cols>
  <sheetData>
    <row r="1" spans="1:27">
      <c r="A1" s="46" t="s">
        <v>0</v>
      </c>
      <c r="B1" s="69" t="s">
        <v>72</v>
      </c>
      <c r="D1" s="2" t="s">
        <v>73</v>
      </c>
      <c r="F1" s="70" t="s">
        <v>73</v>
      </c>
      <c r="G1" s="17" t="s">
        <v>20</v>
      </c>
      <c r="H1" s="18"/>
      <c r="I1" s="37"/>
      <c r="K1" s="12" t="s">
        <v>34</v>
      </c>
      <c r="L1" s="4" t="s">
        <v>21</v>
      </c>
      <c r="M1" s="5"/>
      <c r="N1" s="5"/>
      <c r="O1" s="186" t="s">
        <v>19</v>
      </c>
      <c r="Q1" s="40" t="s">
        <v>44</v>
      </c>
      <c r="R1" s="41"/>
      <c r="S1" s="40" t="s">
        <v>80</v>
      </c>
      <c r="T1" s="53"/>
      <c r="U1" s="41">
        <f>U3+273.15</f>
        <v>1063.1500000000001</v>
      </c>
    </row>
    <row r="2" spans="1:27" ht="15.75" thickBot="1">
      <c r="A2" s="47" t="s">
        <v>1</v>
      </c>
      <c r="B2" s="49">
        <v>10</v>
      </c>
      <c r="D2" s="214" t="s">
        <v>1</v>
      </c>
      <c r="F2" s="19"/>
      <c r="G2" s="20" t="s">
        <v>17</v>
      </c>
      <c r="H2" s="21" t="s">
        <v>18</v>
      </c>
      <c r="I2" s="216" t="s">
        <v>16</v>
      </c>
      <c r="K2" s="6"/>
      <c r="L2" s="7" t="s">
        <v>17</v>
      </c>
      <c r="M2" s="8" t="s">
        <v>18</v>
      </c>
      <c r="N2" s="68" t="s">
        <v>16</v>
      </c>
      <c r="O2" s="183" t="s">
        <v>16</v>
      </c>
      <c r="Q2" s="54">
        <v>60</v>
      </c>
      <c r="R2" s="56" t="s">
        <v>45</v>
      </c>
      <c r="S2" s="54" t="s">
        <v>79</v>
      </c>
      <c r="T2" s="55"/>
      <c r="U2" s="56">
        <f>Energy!L10</f>
        <v>1454</v>
      </c>
    </row>
    <row r="3" spans="1:27" ht="15.75" thickBot="1">
      <c r="A3" s="48">
        <v>133333</v>
      </c>
      <c r="B3" s="78" t="s">
        <v>76</v>
      </c>
      <c r="C3" s="66" t="s">
        <v>123</v>
      </c>
      <c r="D3" s="192">
        <f>A3*C17</f>
        <v>1533329.5</v>
      </c>
      <c r="E3" s="66" t="s">
        <v>123</v>
      </c>
      <c r="F3" s="22" t="s">
        <v>7</v>
      </c>
      <c r="G3" s="23">
        <f t="shared" ref="G3:H8" si="0">G$9*F23</f>
        <v>761451429.69999993</v>
      </c>
      <c r="H3" s="24">
        <f t="shared" si="0"/>
        <v>734771496.39999998</v>
      </c>
      <c r="I3" s="71">
        <f>H3+G3</f>
        <v>1496222926.0999999</v>
      </c>
      <c r="J3" s="66" t="s">
        <v>123</v>
      </c>
      <c r="K3" s="9" t="s">
        <v>7</v>
      </c>
      <c r="L3" s="23">
        <f>G3/$B$23</f>
        <v>63401451.265611984</v>
      </c>
      <c r="M3" s="24">
        <f>H3/$B$23</f>
        <v>61179974.721065775</v>
      </c>
      <c r="N3" s="24">
        <f>M3+L3</f>
        <v>124581425.98667777</v>
      </c>
      <c r="O3" s="193">
        <f>N3*B23</f>
        <v>1496222926.0999999</v>
      </c>
      <c r="Q3" s="132" t="s">
        <v>95</v>
      </c>
      <c r="R3" s="133"/>
      <c r="S3" s="54" t="s">
        <v>78</v>
      </c>
      <c r="T3" s="55"/>
      <c r="U3" s="56">
        <f>(U2-32)*5/9</f>
        <v>790</v>
      </c>
    </row>
    <row r="4" spans="1:27" ht="15.75" thickBot="1">
      <c r="A4" s="49" t="s">
        <v>71</v>
      </c>
      <c r="D4" s="72" t="s">
        <v>4</v>
      </c>
      <c r="F4" s="19" t="s">
        <v>8</v>
      </c>
      <c r="G4" s="25">
        <f t="shared" si="0"/>
        <v>98746419.799999997</v>
      </c>
      <c r="H4" s="21">
        <f t="shared" si="0"/>
        <v>98286420.950000003</v>
      </c>
      <c r="I4" s="192">
        <f t="shared" ref="I4:I13" si="1">H4+G4</f>
        <v>197032840.75</v>
      </c>
      <c r="K4" s="6" t="s">
        <v>8</v>
      </c>
      <c r="L4" s="25">
        <f>G4/$B$24</f>
        <v>97962718.055555552</v>
      </c>
      <c r="M4" s="21">
        <f>H4/$B$24</f>
        <v>97506369.990079373</v>
      </c>
      <c r="N4" s="21">
        <f t="shared" ref="N4:N19" si="2">M4+L4</f>
        <v>195469088.04563493</v>
      </c>
      <c r="O4" s="194">
        <f>N4*B24</f>
        <v>197032840.75</v>
      </c>
      <c r="S4" s="40" t="s">
        <v>48</v>
      </c>
      <c r="T4" s="53"/>
      <c r="U4" s="41">
        <f>((U3*9/5)+32)+459.67</f>
        <v>1913.67</v>
      </c>
    </row>
    <row r="5" spans="1:27">
      <c r="D5" s="71">
        <f>D3*2000</f>
        <v>3066659000</v>
      </c>
      <c r="F5" s="19" t="s">
        <v>9</v>
      </c>
      <c r="G5" s="25">
        <f t="shared" si="0"/>
        <v>552458618.85000002</v>
      </c>
      <c r="H5" s="21">
        <f t="shared" si="0"/>
        <v>559511934.54999995</v>
      </c>
      <c r="I5" s="192">
        <f t="shared" si="1"/>
        <v>1111970553.4000001</v>
      </c>
      <c r="K5" s="6" t="s">
        <v>9</v>
      </c>
      <c r="L5" s="25">
        <f>G5/$B$25</f>
        <v>34528663.678125001</v>
      </c>
      <c r="M5" s="21">
        <f>H5/$B$25</f>
        <v>34969495.909374997</v>
      </c>
      <c r="N5" s="21">
        <f t="shared" si="2"/>
        <v>69498159.587500006</v>
      </c>
      <c r="O5" s="194">
        <f>N5*B25</f>
        <v>1111970553.4000001</v>
      </c>
      <c r="P5" s="66" t="s">
        <v>123</v>
      </c>
      <c r="Q5" s="52" t="s">
        <v>35</v>
      </c>
      <c r="R5" s="41"/>
      <c r="S5" s="54" t="s">
        <v>54</v>
      </c>
      <c r="T5" s="55"/>
      <c r="U5" s="56">
        <v>10.731590000000001</v>
      </c>
      <c r="V5" s="136" t="s">
        <v>120</v>
      </c>
    </row>
    <row r="6" spans="1:27" ht="15.75" thickBot="1">
      <c r="D6" s="73" t="s">
        <v>19</v>
      </c>
      <c r="F6" s="19" t="s">
        <v>10</v>
      </c>
      <c r="G6" s="25">
        <f t="shared" si="0"/>
        <v>1226663.6000000001</v>
      </c>
      <c r="H6" s="21">
        <f t="shared" si="0"/>
        <v>20853281.199999999</v>
      </c>
      <c r="I6" s="192">
        <f t="shared" si="1"/>
        <v>22079944.800000001</v>
      </c>
      <c r="K6" s="6" t="s">
        <v>10</v>
      </c>
      <c r="L6" s="25">
        <f>G6/$B$26</f>
        <v>87575.041050903135</v>
      </c>
      <c r="M6" s="21">
        <f>H6/$B$26</f>
        <v>1488775.697865353</v>
      </c>
      <c r="N6" s="21">
        <f t="shared" si="2"/>
        <v>1576350.738916256</v>
      </c>
      <c r="O6" s="194">
        <f>N6*B26</f>
        <v>22079944.799999997</v>
      </c>
      <c r="Q6" s="54"/>
      <c r="R6" s="56" t="s">
        <v>52</v>
      </c>
      <c r="S6" s="42" t="s">
        <v>66</v>
      </c>
      <c r="T6" s="92"/>
      <c r="U6" s="43">
        <v>23</v>
      </c>
      <c r="V6" s="145" t="s">
        <v>90</v>
      </c>
    </row>
    <row r="7" spans="1:27" ht="15.75" thickBot="1">
      <c r="C7" s="38" t="s">
        <v>56</v>
      </c>
      <c r="D7" s="74">
        <f>D5/8000</f>
        <v>383332.375</v>
      </c>
      <c r="F7" s="19" t="s">
        <v>11</v>
      </c>
      <c r="G7" s="25">
        <f t="shared" si="0"/>
        <v>0</v>
      </c>
      <c r="H7" s="21">
        <f t="shared" si="0"/>
        <v>613331.80000000005</v>
      </c>
      <c r="I7" s="192">
        <f t="shared" si="1"/>
        <v>613331.80000000005</v>
      </c>
      <c r="K7" s="11" t="s">
        <v>11</v>
      </c>
      <c r="L7" s="31">
        <f>G7/$B$27</f>
        <v>0</v>
      </c>
      <c r="M7" s="30">
        <f>H7/$B$27</f>
        <v>19126.572488851467</v>
      </c>
      <c r="N7" s="21">
        <f t="shared" si="2"/>
        <v>19126.572488851467</v>
      </c>
      <c r="O7" s="191">
        <f>N7*B27</f>
        <v>613331.80000000005</v>
      </c>
      <c r="Q7" s="54" t="s">
        <v>36</v>
      </c>
      <c r="R7" s="56">
        <v>12.2</v>
      </c>
    </row>
    <row r="8" spans="1:27" ht="15.75" thickBot="1">
      <c r="D8" s="3" t="s">
        <v>55</v>
      </c>
      <c r="F8" s="26" t="s">
        <v>12</v>
      </c>
      <c r="G8" s="27">
        <f t="shared" si="0"/>
        <v>119293035.09999999</v>
      </c>
      <c r="H8" s="28">
        <f t="shared" si="0"/>
        <v>119293035.09999999</v>
      </c>
      <c r="I8" s="72">
        <f t="shared" si="1"/>
        <v>238586070.19999999</v>
      </c>
      <c r="K8" s="12" t="s">
        <v>12</v>
      </c>
      <c r="L8" s="32" t="s">
        <v>19</v>
      </c>
      <c r="M8" s="18"/>
      <c r="N8" s="18"/>
      <c r="O8" s="184"/>
      <c r="Q8" s="54" t="s">
        <v>37</v>
      </c>
      <c r="R8" s="56">
        <v>44.4</v>
      </c>
    </row>
    <row r="9" spans="1:27" ht="15.75" thickBot="1">
      <c r="F9" s="29" t="s">
        <v>16</v>
      </c>
      <c r="G9" s="27">
        <f>D5*0.5</f>
        <v>1533329500</v>
      </c>
      <c r="H9" s="30">
        <f>D5*0.5</f>
        <v>1533329500</v>
      </c>
      <c r="I9" s="73">
        <f t="shared" si="1"/>
        <v>3066659000</v>
      </c>
      <c r="K9" s="6"/>
      <c r="L9" s="25" t="s">
        <v>17</v>
      </c>
      <c r="M9" s="21" t="s">
        <v>18</v>
      </c>
      <c r="N9" s="21"/>
      <c r="O9" s="151"/>
      <c r="Q9" s="54" t="s">
        <v>38</v>
      </c>
      <c r="R9" s="56">
        <v>22</v>
      </c>
      <c r="U9" s="12" t="s">
        <v>46</v>
      </c>
      <c r="V9" s="4" t="s">
        <v>21</v>
      </c>
      <c r="W9" s="5"/>
      <c r="X9" s="75"/>
      <c r="Y9" s="204" t="s">
        <v>19</v>
      </c>
    </row>
    <row r="10" spans="1:27" ht="15.75" thickBot="1">
      <c r="D10" s="67"/>
      <c r="F10" s="39" t="s">
        <v>53</v>
      </c>
      <c r="I10" s="67"/>
      <c r="K10" s="6" t="s">
        <v>24</v>
      </c>
      <c r="L10" s="25">
        <f t="shared" ref="L10:L19" si="3">$G34*G$8</f>
        <v>596465.17550000001</v>
      </c>
      <c r="M10" s="21">
        <f t="shared" ref="M10:M19" si="4">$G34*H$8</f>
        <v>596465.17550000001</v>
      </c>
      <c r="N10" s="21">
        <f t="shared" si="2"/>
        <v>1192930.351</v>
      </c>
      <c r="O10" s="151">
        <f t="shared" ref="O10:O19" si="5">N10</f>
        <v>1192930.351</v>
      </c>
      <c r="Q10" s="54" t="s">
        <v>39</v>
      </c>
      <c r="R10" s="56">
        <v>15.6</v>
      </c>
      <c r="U10" s="6"/>
      <c r="V10" s="13" t="s">
        <v>17</v>
      </c>
      <c r="W10" s="13" t="s">
        <v>18</v>
      </c>
      <c r="X10" s="95" t="s">
        <v>16</v>
      </c>
      <c r="Y10" s="183" t="s">
        <v>16</v>
      </c>
    </row>
    <row r="11" spans="1:27">
      <c r="F11" s="12" t="s">
        <v>74</v>
      </c>
      <c r="G11" s="75"/>
      <c r="H11" s="75"/>
      <c r="I11" s="74"/>
      <c r="K11" s="6" t="s">
        <v>25</v>
      </c>
      <c r="L11" s="25">
        <f t="shared" si="3"/>
        <v>67794231.847330004</v>
      </c>
      <c r="M11" s="21">
        <f t="shared" si="4"/>
        <v>67794231.847330004</v>
      </c>
      <c r="N11" s="21">
        <f t="shared" si="2"/>
        <v>135588463.69466001</v>
      </c>
      <c r="O11" s="151">
        <f t="shared" si="5"/>
        <v>135588463.69466001</v>
      </c>
      <c r="Q11" s="54" t="s">
        <v>40</v>
      </c>
      <c r="R11" s="56">
        <v>5.0999999999999996</v>
      </c>
      <c r="U11" s="6" t="s">
        <v>36</v>
      </c>
      <c r="V11" s="33">
        <f>L$3*R7/($R$7+$R$8+$R$10+$R$11*2+$R$12*2)*Q2/100</f>
        <v>5538169.7286906885</v>
      </c>
      <c r="W11" s="33">
        <f>M$3*R7/($R$7+$R$8+$R$10+$R$11*2+$R$12*2)*Q2/100</f>
        <v>5344121.8968759123</v>
      </c>
      <c r="X11" s="128">
        <f t="shared" ref="X11:X17" si="6">W11+V11</f>
        <v>10882291.625566602</v>
      </c>
      <c r="Y11" s="193">
        <f>X11*(B23+B25*2)</f>
        <v>478929654.44118613</v>
      </c>
    </row>
    <row r="12" spans="1:27" ht="15.75" thickBot="1">
      <c r="F12" s="6" t="s">
        <v>75</v>
      </c>
      <c r="G12" s="20">
        <f>B2/100*G9/(1-B2/100)</f>
        <v>170369944.44444445</v>
      </c>
      <c r="H12" s="20">
        <f>B2/100*H9/(1-B2/100)</f>
        <v>170369944.44444445</v>
      </c>
      <c r="I12" s="192">
        <f t="shared" si="1"/>
        <v>340739888.8888889</v>
      </c>
      <c r="K12" s="6" t="s">
        <v>26</v>
      </c>
      <c r="L12" s="25">
        <f t="shared" si="3"/>
        <v>954344.28079999995</v>
      </c>
      <c r="M12" s="21">
        <f t="shared" si="4"/>
        <v>954344.28079999995</v>
      </c>
      <c r="N12" s="21">
        <f t="shared" si="2"/>
        <v>1908688.5615999999</v>
      </c>
      <c r="O12" s="151">
        <f t="shared" si="5"/>
        <v>1908688.5615999999</v>
      </c>
      <c r="Q12" s="54" t="s">
        <v>41</v>
      </c>
      <c r="R12" s="56">
        <v>0.7</v>
      </c>
      <c r="S12" s="66" t="s">
        <v>123</v>
      </c>
      <c r="T12" s="66" t="s">
        <v>123</v>
      </c>
      <c r="U12" s="6" t="s">
        <v>37</v>
      </c>
      <c r="V12" s="34">
        <f>V11/$R7*$R8</f>
        <v>20155306.225726768</v>
      </c>
      <c r="W12" s="34">
        <f>W11/$R7*$R8</f>
        <v>19449099.36240086</v>
      </c>
      <c r="X12" s="20">
        <f t="shared" si="6"/>
        <v>39604405.588127628</v>
      </c>
      <c r="Y12" s="194">
        <f>X12*(B23+B25)</f>
        <v>1109319400.5234547</v>
      </c>
    </row>
    <row r="13" spans="1:27" ht="15.75" thickBot="1">
      <c r="A13" t="s">
        <v>59</v>
      </c>
      <c r="F13" s="76" t="s">
        <v>16</v>
      </c>
      <c r="G13" s="77">
        <f>G9+G12</f>
        <v>1703699444.4444444</v>
      </c>
      <c r="H13" s="77">
        <f>H9+H12</f>
        <v>1703699444.4444444</v>
      </c>
      <c r="I13" s="215">
        <f t="shared" si="1"/>
        <v>3407398888.8888888</v>
      </c>
      <c r="K13" s="6" t="s">
        <v>27</v>
      </c>
      <c r="L13" s="25">
        <f t="shared" si="3"/>
        <v>441384.22986999998</v>
      </c>
      <c r="M13" s="21">
        <f t="shared" si="4"/>
        <v>441384.22986999998</v>
      </c>
      <c r="N13" s="21">
        <f t="shared" si="2"/>
        <v>882768.45973999996</v>
      </c>
      <c r="O13" s="151">
        <f t="shared" si="5"/>
        <v>882768.45973999996</v>
      </c>
      <c r="Q13" s="54" t="s">
        <v>42</v>
      </c>
      <c r="R13" s="56">
        <v>17.3</v>
      </c>
      <c r="U13" s="6" t="s">
        <v>38</v>
      </c>
      <c r="V13" s="34">
        <f>V11/$R7*$R9</f>
        <v>9986863.44517993</v>
      </c>
      <c r="W13" s="34">
        <f>W11/$R7*$R9</f>
        <v>9636941.125513941</v>
      </c>
      <c r="X13" s="20">
        <f t="shared" si="6"/>
        <v>19623804.570693873</v>
      </c>
      <c r="Y13" s="194">
        <f>X13*B24*2</f>
        <v>39561590.01451885</v>
      </c>
    </row>
    <row r="14" spans="1:27">
      <c r="A14" s="45" t="s">
        <v>57</v>
      </c>
      <c r="I14" s="37" t="s">
        <v>55</v>
      </c>
      <c r="K14" s="6" t="s">
        <v>28</v>
      </c>
      <c r="L14" s="25">
        <f t="shared" si="3"/>
        <v>5702207.0777799999</v>
      </c>
      <c r="M14" s="21">
        <f t="shared" si="4"/>
        <v>5702207.0777799999</v>
      </c>
      <c r="N14" s="21">
        <f t="shared" si="2"/>
        <v>11404414.15556</v>
      </c>
      <c r="O14" s="151">
        <f t="shared" si="5"/>
        <v>11404414.15556</v>
      </c>
      <c r="Q14" s="42"/>
      <c r="R14" s="43" t="s">
        <v>43</v>
      </c>
      <c r="U14" s="6" t="s">
        <v>39</v>
      </c>
      <c r="V14" s="34">
        <f>V11/$R7*$R10</f>
        <v>7081594.0793094058</v>
      </c>
      <c r="W14" s="34">
        <f>W11/$R7*$R10</f>
        <v>6833467.343546248</v>
      </c>
      <c r="X14" s="20">
        <f t="shared" si="6"/>
        <v>13915061.422855653</v>
      </c>
      <c r="Y14" s="194">
        <f>X14*(B23+B24*4)</f>
        <v>223225415.3454504</v>
      </c>
    </row>
    <row r="15" spans="1:27" ht="15.75" thickBot="1">
      <c r="A15" s="16" t="s">
        <v>60</v>
      </c>
      <c r="I15" s="73">
        <f>I13/8000</f>
        <v>425924.86111111112</v>
      </c>
      <c r="K15" s="6" t="s">
        <v>29</v>
      </c>
      <c r="L15" s="25">
        <f t="shared" si="3"/>
        <v>13181880.378549999</v>
      </c>
      <c r="M15" s="21">
        <f t="shared" si="4"/>
        <v>13181880.378549999</v>
      </c>
      <c r="N15" s="21">
        <f t="shared" si="2"/>
        <v>26363760.757099997</v>
      </c>
      <c r="O15" s="151">
        <f t="shared" si="5"/>
        <v>26363760.757099997</v>
      </c>
      <c r="Q15" s="61" t="s">
        <v>93</v>
      </c>
      <c r="R15" s="63"/>
      <c r="U15" s="6" t="s">
        <v>40</v>
      </c>
      <c r="V15" s="34">
        <f>V11/$R7*$R11</f>
        <v>2315136.5259280745</v>
      </c>
      <c r="W15" s="34">
        <f>W11/$R7*$R11</f>
        <v>2234018.170005504</v>
      </c>
      <c r="X15" s="20">
        <f t="shared" si="6"/>
        <v>4549154.6959335785</v>
      </c>
      <c r="Y15" s="194">
        <f>X15*(B23*2+B24*4)</f>
        <v>127612887.53032875</v>
      </c>
    </row>
    <row r="16" spans="1:27">
      <c r="A16" s="44" t="s">
        <v>58</v>
      </c>
      <c r="C16" s="50" t="s">
        <v>2</v>
      </c>
      <c r="K16" s="6" t="s">
        <v>30</v>
      </c>
      <c r="L16" s="25">
        <f t="shared" si="3"/>
        <v>357879.1053</v>
      </c>
      <c r="M16" s="21">
        <f t="shared" si="4"/>
        <v>357879.1053</v>
      </c>
      <c r="N16" s="21">
        <f t="shared" si="2"/>
        <v>715758.21059999999</v>
      </c>
      <c r="O16" s="151">
        <f t="shared" si="5"/>
        <v>715758.21059999999</v>
      </c>
      <c r="U16" s="10" t="s">
        <v>41</v>
      </c>
      <c r="V16" s="35">
        <f>V11/$R7*$R12</f>
        <v>317763.8368920887</v>
      </c>
      <c r="W16" s="35">
        <f>W11/$R7*$R12</f>
        <v>306629.94490271626</v>
      </c>
      <c r="X16" s="130">
        <f t="shared" si="6"/>
        <v>624393.78179480496</v>
      </c>
      <c r="Y16" s="195">
        <f>X16*(B23*2+B24*6)</f>
        <v>18774272.231006194</v>
      </c>
      <c r="Z16" s="85" t="s">
        <v>97</v>
      </c>
      <c r="AA16" s="84"/>
    </row>
    <row r="17" spans="1:31" ht="15.75" thickBot="1">
      <c r="C17" s="51">
        <v>11.5</v>
      </c>
      <c r="K17" s="6" t="s">
        <v>31</v>
      </c>
      <c r="L17" s="25">
        <f t="shared" si="3"/>
        <v>10807948.98006</v>
      </c>
      <c r="M17" s="21">
        <f t="shared" si="4"/>
        <v>10807948.98006</v>
      </c>
      <c r="N17" s="21">
        <f t="shared" si="2"/>
        <v>21615897.96012</v>
      </c>
      <c r="O17" s="151">
        <f t="shared" si="5"/>
        <v>21615897.96012</v>
      </c>
      <c r="Q17" s="52" t="s">
        <v>108</v>
      </c>
      <c r="R17" s="41"/>
      <c r="U17" s="6" t="s">
        <v>16</v>
      </c>
      <c r="V17" s="21">
        <f>SUM(V11:V16)</f>
        <v>45394833.841726951</v>
      </c>
      <c r="W17" s="20">
        <f>SUM(W11:W16)</f>
        <v>43804277.843245178</v>
      </c>
      <c r="X17" s="20">
        <f>SUM(X11:X16)</f>
        <v>89199111.684972122</v>
      </c>
      <c r="Y17" s="193">
        <f>SUM(Y11:Y16)</f>
        <v>1997423220.0859449</v>
      </c>
    </row>
    <row r="18" spans="1:31">
      <c r="C18" s="51" t="s">
        <v>5</v>
      </c>
      <c r="K18" s="6" t="s">
        <v>32</v>
      </c>
      <c r="L18" s="25">
        <f t="shared" si="3"/>
        <v>6525329.0199699998</v>
      </c>
      <c r="M18" s="21">
        <f t="shared" si="4"/>
        <v>6525329.0199699998</v>
      </c>
      <c r="N18" s="21">
        <f t="shared" si="2"/>
        <v>13050658.03994</v>
      </c>
      <c r="O18" s="151">
        <f t="shared" si="5"/>
        <v>13050658.03994</v>
      </c>
      <c r="Q18" s="54"/>
      <c r="R18" s="56" t="s">
        <v>52</v>
      </c>
      <c r="U18" s="12" t="s">
        <v>62</v>
      </c>
      <c r="V18" s="75"/>
      <c r="W18" s="203"/>
      <c r="X18" s="188"/>
      <c r="Y18" s="196"/>
    </row>
    <row r="19" spans="1:31" ht="15.75" thickBot="1">
      <c r="C19" s="51" t="s">
        <v>3</v>
      </c>
      <c r="K19" s="6" t="s">
        <v>140</v>
      </c>
      <c r="L19" s="25">
        <f t="shared" si="3"/>
        <v>12824001.273249999</v>
      </c>
      <c r="M19" s="21">
        <f t="shared" si="4"/>
        <v>12824001.273249999</v>
      </c>
      <c r="N19" s="21">
        <f t="shared" si="2"/>
        <v>25648002.546499997</v>
      </c>
      <c r="O19" s="151">
        <f t="shared" si="5"/>
        <v>25648002.546499997</v>
      </c>
      <c r="Q19" s="54" t="s">
        <v>37</v>
      </c>
      <c r="R19" s="56">
        <v>25.1</v>
      </c>
      <c r="U19" s="6" t="s">
        <v>63</v>
      </c>
      <c r="V19" s="20">
        <f>L7*0.9*0.917</f>
        <v>0</v>
      </c>
      <c r="W19" s="25">
        <f>M7*0.9*0.917</f>
        <v>15785.160275049118</v>
      </c>
      <c r="X19" s="20">
        <f t="shared" ref="X19:X24" si="7">W19+V19</f>
        <v>15785.160275049118</v>
      </c>
      <c r="Y19" s="194">
        <f>X19*(B24*2+B27)</f>
        <v>538005.61765449913</v>
      </c>
      <c r="Z19" s="137" t="s">
        <v>98</v>
      </c>
      <c r="AA19" s="138"/>
      <c r="AB19" s="85" t="s">
        <v>100</v>
      </c>
      <c r="AC19" s="139"/>
    </row>
    <row r="20" spans="1:31">
      <c r="C20" s="60" t="s">
        <v>139</v>
      </c>
      <c r="E20" s="52" t="s">
        <v>6</v>
      </c>
      <c r="F20" s="53"/>
      <c r="G20" s="41"/>
      <c r="K20" s="12" t="s">
        <v>70</v>
      </c>
      <c r="L20" s="81" t="s">
        <v>21</v>
      </c>
      <c r="M20" s="14"/>
      <c r="N20" s="5"/>
      <c r="O20" s="86"/>
      <c r="Q20" s="54" t="s">
        <v>75</v>
      </c>
      <c r="R20" s="56">
        <v>40</v>
      </c>
      <c r="U20" s="6" t="s">
        <v>67</v>
      </c>
      <c r="V20" s="20">
        <f>L7*0.1*0.917</f>
        <v>0</v>
      </c>
      <c r="W20" s="25">
        <f>M7*0.1*0.917</f>
        <v>1753.9066972276796</v>
      </c>
      <c r="X20" s="20">
        <f t="shared" si="7"/>
        <v>1753.9066972276796</v>
      </c>
      <c r="Y20" s="194">
        <f>X20*B23+B25+B27</f>
        <v>21112.486433704431</v>
      </c>
      <c r="Z20" s="64" t="s">
        <v>102</v>
      </c>
      <c r="AA20" s="64"/>
      <c r="AB20" s="65"/>
    </row>
    <row r="21" spans="1:31" ht="15.75" thickBot="1">
      <c r="C21" s="217"/>
      <c r="E21" s="54"/>
      <c r="F21" s="55" t="s">
        <v>13</v>
      </c>
      <c r="G21" s="56" t="s">
        <v>14</v>
      </c>
      <c r="K21" s="11" t="s">
        <v>61</v>
      </c>
      <c r="L21" s="82">
        <f>G12/B29</f>
        <v>9456591.0548648126</v>
      </c>
      <c r="M21" s="27">
        <f>H12/B29</f>
        <v>9456591.0548648126</v>
      </c>
      <c r="N21" s="30">
        <f>M21+L21</f>
        <v>18913182.109729625</v>
      </c>
      <c r="O21" s="152">
        <f>N21*B29</f>
        <v>340739888.8888889</v>
      </c>
      <c r="Q21" s="83" t="s">
        <v>109</v>
      </c>
      <c r="R21" s="65"/>
      <c r="U21" s="6" t="s">
        <v>64</v>
      </c>
      <c r="V21" s="20">
        <f>L6*0.25*0.934</f>
        <v>20448.772085385885</v>
      </c>
      <c r="W21" s="25">
        <f>M6*0.25*0.934</f>
        <v>347629.12545155996</v>
      </c>
      <c r="X21" s="20">
        <f t="shared" si="7"/>
        <v>368077.89753694582</v>
      </c>
      <c r="Y21" s="194">
        <f>X21*(B26+B24*3)</f>
        <v>6268734.6729517234</v>
      </c>
      <c r="Z21" s="137" t="s">
        <v>105</v>
      </c>
      <c r="AA21" s="137"/>
      <c r="AB21" s="137"/>
      <c r="AC21" s="137"/>
      <c r="AD21" s="84"/>
    </row>
    <row r="22" spans="1:31" ht="15.75" thickBot="1">
      <c r="A22" s="40"/>
      <c r="B22" s="59" t="s">
        <v>47</v>
      </c>
      <c r="C22" s="217"/>
      <c r="E22" s="54" t="s">
        <v>15</v>
      </c>
      <c r="F22" s="57">
        <v>39979</v>
      </c>
      <c r="G22" s="58">
        <v>40118</v>
      </c>
      <c r="N22" s="67"/>
      <c r="U22" s="6" t="s">
        <v>68</v>
      </c>
      <c r="V22" s="20">
        <f>L6*0.1*0.934</f>
        <v>8179.5088341543542</v>
      </c>
      <c r="W22" s="25">
        <f>M6*0.1*0.934</f>
        <v>139051.65018062398</v>
      </c>
      <c r="X22" s="20">
        <f t="shared" si="7"/>
        <v>147231.15901477833</v>
      </c>
      <c r="Y22" s="194">
        <f>X22*(B24+B23+B26)</f>
        <v>3978922.0723743839</v>
      </c>
      <c r="Z22" s="137" t="s">
        <v>106</v>
      </c>
      <c r="AA22" s="137"/>
      <c r="AB22" s="137"/>
      <c r="AC22" s="137"/>
      <c r="AD22" s="137"/>
      <c r="AE22" s="137"/>
    </row>
    <row r="23" spans="1:31" ht="15.75" thickBot="1">
      <c r="A23" s="54" t="s">
        <v>7</v>
      </c>
      <c r="B23" s="56">
        <v>12.01</v>
      </c>
      <c r="C23" s="1"/>
      <c r="E23" s="54" t="s">
        <v>7</v>
      </c>
      <c r="F23" s="55">
        <v>0.49659999999999999</v>
      </c>
      <c r="G23" s="56">
        <v>0.47920000000000001</v>
      </c>
      <c r="Q23" s="99" t="s">
        <v>50</v>
      </c>
      <c r="R23" s="108"/>
      <c r="U23" s="6" t="s">
        <v>69</v>
      </c>
      <c r="V23" s="20">
        <f>L6*0.65/2*0.934</f>
        <v>26583.403711001647</v>
      </c>
      <c r="W23" s="25">
        <f>M6*0.65/2*0.934</f>
        <v>451917.86308702797</v>
      </c>
      <c r="X23" s="20">
        <f t="shared" si="7"/>
        <v>478501.2667980296</v>
      </c>
      <c r="Y23" s="194">
        <f>X23*(B26*2)</f>
        <v>13404734.488080001</v>
      </c>
      <c r="Z23" s="64" t="s">
        <v>115</v>
      </c>
      <c r="AA23" s="64"/>
      <c r="AB23" s="64"/>
      <c r="AC23" s="65"/>
    </row>
    <row r="24" spans="1:31" ht="15.75" thickBot="1">
      <c r="A24" s="54" t="s">
        <v>8</v>
      </c>
      <c r="B24" s="56">
        <v>1.008</v>
      </c>
      <c r="E24" s="54" t="s">
        <v>8</v>
      </c>
      <c r="F24" s="55">
        <v>6.4399999999999999E-2</v>
      </c>
      <c r="G24" s="56">
        <v>6.4100000000000004E-2</v>
      </c>
      <c r="J24" s="12" t="s">
        <v>89</v>
      </c>
      <c r="K24" s="89">
        <v>0.4</v>
      </c>
      <c r="L24" s="125" t="s">
        <v>91</v>
      </c>
      <c r="M24" s="126"/>
      <c r="Q24" s="102">
        <v>16</v>
      </c>
      <c r="R24" s="109" t="s">
        <v>49</v>
      </c>
      <c r="U24" s="6" t="s">
        <v>65</v>
      </c>
      <c r="V24" s="20">
        <f>L10/$B$28</f>
        <v>16824.110103517331</v>
      </c>
      <c r="W24" s="25">
        <f>M10/$B$28</f>
        <v>16824.110103517331</v>
      </c>
      <c r="X24" s="20">
        <f t="shared" si="7"/>
        <v>33648.220207034661</v>
      </c>
      <c r="Y24" s="194">
        <f>X24*(B28+B24)</f>
        <v>1226847.756968691</v>
      </c>
      <c r="Z24" s="64" t="s">
        <v>107</v>
      </c>
      <c r="AA24" s="64"/>
      <c r="AB24" s="65"/>
    </row>
    <row r="25" spans="1:31" ht="15.75" thickBot="1">
      <c r="A25" s="54" t="s">
        <v>9</v>
      </c>
      <c r="B25" s="56">
        <v>16</v>
      </c>
      <c r="E25" s="54" t="s">
        <v>9</v>
      </c>
      <c r="F25" s="55">
        <v>0.36030000000000001</v>
      </c>
      <c r="G25" s="56">
        <v>0.3649</v>
      </c>
      <c r="J25" s="6"/>
      <c r="K25" s="7" t="s">
        <v>13</v>
      </c>
      <c r="L25" s="7" t="s">
        <v>14</v>
      </c>
      <c r="M25" s="68" t="s">
        <v>16</v>
      </c>
      <c r="Q25" s="110">
        <f>Q24*0.0000624</f>
        <v>9.9839999999999998E-4</v>
      </c>
      <c r="R25" s="111" t="s">
        <v>51</v>
      </c>
      <c r="U25" s="11" t="s">
        <v>77</v>
      </c>
      <c r="V25" s="80">
        <f>SUM(V19:V24)</f>
        <v>72035.794734059222</v>
      </c>
      <c r="W25" s="31">
        <f>SUM(W19:W24)</f>
        <v>972961.815795006</v>
      </c>
      <c r="X25" s="80">
        <f>SUM(X19:X24)</f>
        <v>1044997.6105290651</v>
      </c>
      <c r="Y25" s="191">
        <f>SUM(Y19:Y24)</f>
        <v>25438357.094463006</v>
      </c>
    </row>
    <row r="26" spans="1:31" ht="15.75" thickBot="1">
      <c r="A26" s="54" t="s">
        <v>10</v>
      </c>
      <c r="B26" s="56">
        <v>14.007</v>
      </c>
      <c r="E26" s="54" t="s">
        <v>10</v>
      </c>
      <c r="F26" s="55">
        <v>8.0000000000000004E-4</v>
      </c>
      <c r="G26" s="56">
        <v>1.3599999999999999E-2</v>
      </c>
      <c r="J26" s="115" t="s">
        <v>19</v>
      </c>
      <c r="K26" s="127">
        <f>K24*G9</f>
        <v>613331800</v>
      </c>
      <c r="L26" s="23">
        <f>K24*H9</f>
        <v>613331800</v>
      </c>
      <c r="M26" s="129">
        <f>L26+K26</f>
        <v>1226663600</v>
      </c>
      <c r="Q26" s="144" t="s">
        <v>88</v>
      </c>
      <c r="R26" s="135"/>
      <c r="U26" s="12" t="s">
        <v>70</v>
      </c>
      <c r="V26" s="4" t="s">
        <v>17</v>
      </c>
      <c r="W26" s="4" t="s">
        <v>18</v>
      </c>
      <c r="X26" s="4" t="s">
        <v>16</v>
      </c>
      <c r="Y26" s="196"/>
    </row>
    <row r="27" spans="1:31" ht="15.75" thickBot="1">
      <c r="A27" s="42" t="s">
        <v>11</v>
      </c>
      <c r="B27" s="43">
        <v>32.067</v>
      </c>
      <c r="E27" s="54" t="s">
        <v>11</v>
      </c>
      <c r="F27" s="55">
        <v>0</v>
      </c>
      <c r="G27" s="56">
        <v>4.0000000000000002E-4</v>
      </c>
      <c r="J27" s="116" t="s">
        <v>21</v>
      </c>
      <c r="K27" s="82">
        <f>K26/B29</f>
        <v>34043727.797513328</v>
      </c>
      <c r="L27" s="27">
        <f>L26/B29</f>
        <v>34043727.797513328</v>
      </c>
      <c r="M27" s="131">
        <f>L27+K27</f>
        <v>68087455.595026657</v>
      </c>
      <c r="Q27" s="93">
        <f>Q25/(B23*10+B24*8)</f>
        <v>7.7900190381074247E-6</v>
      </c>
      <c r="R27" s="94" t="s">
        <v>113</v>
      </c>
      <c r="U27" s="182" t="s">
        <v>75</v>
      </c>
      <c r="V27" s="153">
        <f>V12/R19*R20</f>
        <v>32120009.921476919</v>
      </c>
      <c r="W27" s="200">
        <f>W12/R19*R20</f>
        <v>30994580.657212526</v>
      </c>
      <c r="X27" s="200">
        <f>W27+V27</f>
        <v>63114590.578689441</v>
      </c>
      <c r="Y27" s="190">
        <f>X27*(B24*2+B25)</f>
        <v>1137072463.8656688</v>
      </c>
      <c r="Z27" s="134" t="s">
        <v>110</v>
      </c>
      <c r="AA27" s="134"/>
      <c r="AB27" s="134"/>
      <c r="AC27" s="133"/>
    </row>
    <row r="28" spans="1:31" ht="15.75" thickBot="1">
      <c r="A28" s="54" t="s">
        <v>24</v>
      </c>
      <c r="B28" s="56">
        <v>35.453000000000003</v>
      </c>
      <c r="E28" s="54" t="s">
        <v>12</v>
      </c>
      <c r="F28" s="55">
        <v>7.7799999999999994E-2</v>
      </c>
      <c r="G28" s="56">
        <v>7.7799999999999994E-2</v>
      </c>
      <c r="J28" s="112" t="s">
        <v>90</v>
      </c>
      <c r="K28" s="124"/>
      <c r="L28" s="124"/>
      <c r="M28" s="107"/>
      <c r="P28" s="99" t="s">
        <v>81</v>
      </c>
      <c r="Q28" s="100"/>
      <c r="R28" s="101"/>
      <c r="U28" s="116" t="s">
        <v>118</v>
      </c>
      <c r="V28" s="80">
        <f>V27+V25+V17</f>
        <v>77586879.557937935</v>
      </c>
      <c r="W28" s="80">
        <f>W27+W25+W17</f>
        <v>75771820.316252708</v>
      </c>
      <c r="X28" s="149">
        <f>W28+V28</f>
        <v>153358699.87419063</v>
      </c>
      <c r="Y28" s="191">
        <f>Y27+Y25+Y17</f>
        <v>3159934041.0460768</v>
      </c>
    </row>
    <row r="29" spans="1:31">
      <c r="A29" s="54" t="s">
        <v>75</v>
      </c>
      <c r="B29" s="79">
        <f>B24*2+B25</f>
        <v>18.015999999999998</v>
      </c>
      <c r="E29" s="61" t="s">
        <v>136</v>
      </c>
      <c r="F29" s="62"/>
      <c r="G29" s="63"/>
      <c r="P29" s="102"/>
      <c r="Q29" s="56" t="s">
        <v>82</v>
      </c>
      <c r="R29" s="103" t="s">
        <v>84</v>
      </c>
      <c r="U29" s="205" t="s">
        <v>114</v>
      </c>
      <c r="V29" s="150">
        <f>((V28)*U5*U4/U6)</f>
        <v>69277398415.23024</v>
      </c>
      <c r="W29" s="148">
        <f>(W28)*U5*U4/U6</f>
        <v>67656730295.183273</v>
      </c>
      <c r="X29" s="149">
        <f>W29+V29</f>
        <v>136934128710.41351</v>
      </c>
      <c r="Y29" s="84" t="s">
        <v>111</v>
      </c>
    </row>
    <row r="30" spans="1:31">
      <c r="P30" s="102" t="s">
        <v>7</v>
      </c>
      <c r="Q30" s="56">
        <f>10/18*100</f>
        <v>55.555555555555557</v>
      </c>
      <c r="R30" s="103">
        <f>Q30*B23/(Q30*B23+Q31*B24)</f>
        <v>0.93708061546144006</v>
      </c>
      <c r="S30" s="66" t="s">
        <v>123</v>
      </c>
      <c r="T30" s="66" t="s">
        <v>123</v>
      </c>
      <c r="U30" s="115" t="s">
        <v>116</v>
      </c>
      <c r="V30" s="19">
        <f>V29*R33/(1-R33)</f>
        <v>485249121.44345528</v>
      </c>
      <c r="W30" s="25">
        <f>W29*R33/(1-R33)</f>
        <v>473897254.89831501</v>
      </c>
      <c r="X30" s="21">
        <f>W30+V30</f>
        <v>959146376.34177029</v>
      </c>
      <c r="Y30" s="67"/>
    </row>
    <row r="31" spans="1:31" ht="15.75" thickBot="1">
      <c r="P31" s="102" t="s">
        <v>83</v>
      </c>
      <c r="Q31" s="56">
        <f>8/18*100</f>
        <v>44.444444444444443</v>
      </c>
      <c r="R31" s="104">
        <f>Q31*B24/(Q30*B23+Q31*B24)</f>
        <v>6.2919384538559969E-2</v>
      </c>
      <c r="U31" s="201" t="s">
        <v>117</v>
      </c>
      <c r="V31" s="36">
        <f>V30+V29</f>
        <v>69762647536.673691</v>
      </c>
      <c r="W31" s="202">
        <f>W30+W29</f>
        <v>68130627550.081589</v>
      </c>
      <c r="X31" s="189">
        <f>X30+X29</f>
        <v>137893275086.75528</v>
      </c>
      <c r="Y31" s="67"/>
    </row>
    <row r="32" spans="1:31" ht="15.75" thickBot="1">
      <c r="F32" s="52" t="s">
        <v>22</v>
      </c>
      <c r="G32" s="41"/>
      <c r="P32" s="105" t="s">
        <v>96</v>
      </c>
      <c r="Q32" s="106"/>
      <c r="R32" s="107"/>
      <c r="Y32" s="67"/>
    </row>
    <row r="33" spans="1:27">
      <c r="F33" s="54" t="s">
        <v>23</v>
      </c>
      <c r="G33" s="56"/>
      <c r="P33" s="146" t="s">
        <v>112</v>
      </c>
      <c r="Q33" s="7"/>
      <c r="R33" s="147">
        <f>Q27*U5*U4/U6</f>
        <v>6.9557153946653684E-3</v>
      </c>
      <c r="U33" s="12" t="s">
        <v>50</v>
      </c>
      <c r="V33" s="207" t="s">
        <v>17</v>
      </c>
      <c r="W33" s="208" t="s">
        <v>18</v>
      </c>
      <c r="X33" s="13" t="s">
        <v>16</v>
      </c>
      <c r="Y33" s="212" t="s">
        <v>19</v>
      </c>
    </row>
    <row r="34" spans="1:27" ht="15.75" thickBot="1">
      <c r="F34" s="54" t="s">
        <v>24</v>
      </c>
      <c r="G34" s="56">
        <v>5.0000000000000001E-3</v>
      </c>
      <c r="U34" s="116" t="s">
        <v>21</v>
      </c>
      <c r="V34" s="31">
        <f>V31*Q27</f>
        <v>543452.35245946608</v>
      </c>
      <c r="W34" s="187">
        <f>W31*Q27</f>
        <v>530738.88569334184</v>
      </c>
      <c r="X34" s="30">
        <f>W34+V34</f>
        <v>1074191.238152808</v>
      </c>
      <c r="Y34" s="191">
        <f>X34*(B23*10+B24*8)</f>
        <v>137672645.84661648</v>
      </c>
      <c r="Z34" s="137" t="s">
        <v>119</v>
      </c>
      <c r="AA34" s="84"/>
    </row>
    <row r="35" spans="1:27" ht="15.75" thickBot="1">
      <c r="A35" t="s">
        <v>85</v>
      </c>
      <c r="F35" s="54" t="s">
        <v>25</v>
      </c>
      <c r="G35" s="56">
        <v>0.56830000000000003</v>
      </c>
      <c r="V35" s="211" t="s">
        <v>21</v>
      </c>
      <c r="W35" s="114"/>
      <c r="X35" s="15"/>
      <c r="Y35" s="186"/>
    </row>
    <row r="36" spans="1:27" ht="15.75" thickBot="1">
      <c r="A36">
        <v>1</v>
      </c>
      <c r="B36" t="s">
        <v>86</v>
      </c>
      <c r="F36" s="54" t="s">
        <v>26</v>
      </c>
      <c r="G36" s="56">
        <v>8.0000000000000002E-3</v>
      </c>
      <c r="U36" s="91" t="s">
        <v>134</v>
      </c>
      <c r="V36" s="209">
        <f>V34+V28</f>
        <v>78130331.910397395</v>
      </c>
      <c r="W36" s="206">
        <f>W34+W28</f>
        <v>76302559.20194605</v>
      </c>
      <c r="X36" s="210">
        <f>X34+X28</f>
        <v>154432891.11234343</v>
      </c>
      <c r="Y36" s="213">
        <f>Y34+Y28</f>
        <v>3297606686.892693</v>
      </c>
    </row>
    <row r="37" spans="1:27" ht="15.75" thickBot="1">
      <c r="A37">
        <v>2</v>
      </c>
      <c r="B37" t="s">
        <v>87</v>
      </c>
      <c r="F37" s="54" t="s">
        <v>27</v>
      </c>
      <c r="G37" s="56">
        <v>3.7000000000000002E-3</v>
      </c>
      <c r="J37" s="117" t="s">
        <v>122</v>
      </c>
      <c r="K37" s="118"/>
      <c r="L37" s="118"/>
      <c r="M37" s="119"/>
      <c r="P37" s="117" t="s">
        <v>124</v>
      </c>
      <c r="Q37" s="118"/>
      <c r="R37" s="118"/>
      <c r="S37" s="119"/>
    </row>
    <row r="38" spans="1:27">
      <c r="A38">
        <v>3</v>
      </c>
      <c r="B38" t="s">
        <v>92</v>
      </c>
      <c r="F38" s="54" t="s">
        <v>28</v>
      </c>
      <c r="G38" s="56">
        <v>4.7800000000000002E-2</v>
      </c>
      <c r="J38" s="120"/>
      <c r="K38" s="176" t="s">
        <v>21</v>
      </c>
      <c r="L38" s="121"/>
      <c r="M38" s="122"/>
      <c r="P38" s="120"/>
      <c r="Q38" s="121" t="s">
        <v>13</v>
      </c>
      <c r="R38" s="121" t="s">
        <v>14</v>
      </c>
      <c r="S38" s="166" t="s">
        <v>16</v>
      </c>
      <c r="U38" s="117" t="s">
        <v>121</v>
      </c>
      <c r="V38" s="118"/>
      <c r="W38" s="118"/>
      <c r="X38" s="119"/>
    </row>
    <row r="39" spans="1:27">
      <c r="A39">
        <v>4</v>
      </c>
      <c r="B39" t="s">
        <v>94</v>
      </c>
      <c r="F39" s="54" t="s">
        <v>29</v>
      </c>
      <c r="G39" s="56">
        <v>0.1105</v>
      </c>
      <c r="J39" s="120"/>
      <c r="K39" s="121" t="s">
        <v>13</v>
      </c>
      <c r="L39" s="121" t="s">
        <v>14</v>
      </c>
      <c r="M39" s="166" t="s">
        <v>16</v>
      </c>
      <c r="P39" s="120" t="s">
        <v>7</v>
      </c>
      <c r="Q39" s="157">
        <f t="shared" ref="Q39:R43" si="8">K40-V41</f>
        <v>19917877.472815983</v>
      </c>
      <c r="R39" s="157">
        <f t="shared" si="8"/>
        <v>19023795.474615037</v>
      </c>
      <c r="S39" s="159">
        <f>R39+Q39</f>
        <v>38941672.94743102</v>
      </c>
      <c r="U39" s="120"/>
      <c r="V39" s="176" t="s">
        <v>21</v>
      </c>
      <c r="W39" s="121"/>
      <c r="X39" s="122"/>
    </row>
    <row r="40" spans="1:27">
      <c r="A40">
        <v>5</v>
      </c>
      <c r="B40" t="s">
        <v>135</v>
      </c>
      <c r="F40" s="54" t="s">
        <v>30</v>
      </c>
      <c r="G40" s="56">
        <v>3.0000000000000001E-3</v>
      </c>
      <c r="J40" s="120" t="s">
        <v>7</v>
      </c>
      <c r="K40" s="157">
        <f>L3</f>
        <v>63401451.265611984</v>
      </c>
      <c r="L40" s="158">
        <f>M3</f>
        <v>61179974.721065775</v>
      </c>
      <c r="M40" s="159">
        <f>L40+K40</f>
        <v>124581425.98667777</v>
      </c>
      <c r="N40" s="66" t="s">
        <v>123</v>
      </c>
      <c r="O40" s="66" t="s">
        <v>123</v>
      </c>
      <c r="P40" s="120" t="s">
        <v>8</v>
      </c>
      <c r="Q40" s="157">
        <f t="shared" si="8"/>
        <v>56822134.829826131</v>
      </c>
      <c r="R40" s="157">
        <f t="shared" si="8"/>
        <v>59657997.863023758</v>
      </c>
      <c r="S40" s="162">
        <f>R40+Q40</f>
        <v>116480132.69284989</v>
      </c>
      <c r="T40" s="113" t="s">
        <v>125</v>
      </c>
      <c r="U40" s="120"/>
      <c r="V40" s="121" t="s">
        <v>13</v>
      </c>
      <c r="W40" s="121" t="s">
        <v>14</v>
      </c>
      <c r="X40" s="166" t="s">
        <v>16</v>
      </c>
    </row>
    <row r="41" spans="1:27">
      <c r="A41">
        <v>6</v>
      </c>
      <c r="B41" t="s">
        <v>138</v>
      </c>
      <c r="F41" s="54" t="s">
        <v>31</v>
      </c>
      <c r="G41" s="56">
        <v>9.06E-2</v>
      </c>
      <c r="J41" s="120" t="s">
        <v>8</v>
      </c>
      <c r="K41" s="160">
        <f>L4+L21*2+K27*2</f>
        <v>184963355.76031184</v>
      </c>
      <c r="L41" s="161">
        <f>M4+M21*2+L27*2</f>
        <v>184507007.69483566</v>
      </c>
      <c r="M41" s="162">
        <f>L41+K41</f>
        <v>369470363.4551475</v>
      </c>
      <c r="P41" s="120" t="s">
        <v>9</v>
      </c>
      <c r="Q41" s="157">
        <f t="shared" si="8"/>
        <v>14677326.925918087</v>
      </c>
      <c r="R41" s="157">
        <f t="shared" si="8"/>
        <v>17336137.041690707</v>
      </c>
      <c r="S41" s="162">
        <f>R41+Q41</f>
        <v>32013463.967608795</v>
      </c>
      <c r="U41" s="120" t="s">
        <v>7</v>
      </c>
      <c r="V41" s="157">
        <f>V11+V12+V14+V15*2+V16*2+V22+V20+V34*10</f>
        <v>43483573.792796001</v>
      </c>
      <c r="W41" s="158">
        <f>W11+W12+W14+W15*2+W16*2+W22+W20+W34*10</f>
        <v>42156179.246450737</v>
      </c>
      <c r="X41" s="159">
        <f>W41+V41</f>
        <v>85639753.039246738</v>
      </c>
    </row>
    <row r="42" spans="1:27">
      <c r="A42">
        <v>7</v>
      </c>
      <c r="B42" t="s">
        <v>150</v>
      </c>
      <c r="F42" s="54" t="s">
        <v>32</v>
      </c>
      <c r="G42" s="56">
        <v>5.4699999999999999E-2</v>
      </c>
      <c r="J42" s="120" t="s">
        <v>9</v>
      </c>
      <c r="K42" s="160">
        <f>L5+L21+K27</f>
        <v>78028982.530503154</v>
      </c>
      <c r="L42" s="161">
        <f>M5+M21+L27</f>
        <v>78469814.761753142</v>
      </c>
      <c r="M42" s="162">
        <f>L42+K42</f>
        <v>156498797.2922563</v>
      </c>
      <c r="P42" s="120" t="s">
        <v>10</v>
      </c>
      <c r="Q42" s="157">
        <f t="shared" si="8"/>
        <v>5779.9527093595971</v>
      </c>
      <c r="R42" s="157">
        <f t="shared" si="8"/>
        <v>98259.196059113136</v>
      </c>
      <c r="S42" s="162">
        <f>R42+Q42</f>
        <v>104039.14876847273</v>
      </c>
      <c r="U42" s="120" t="s">
        <v>8</v>
      </c>
      <c r="V42" s="160">
        <f>V13*2+V14*4+V15*4+V16*6+V19*2+V21*3+V22+V24+V27*2+V34*8</f>
        <v>128141220.93048571</v>
      </c>
      <c r="W42" s="161">
        <f>W13*2+W14*4+W15*4+W16*6+W19*2+W21*3+W22+W24+W27*2+W34*8</f>
        <v>124849009.8318119</v>
      </c>
      <c r="X42" s="162">
        <f>W42+V42</f>
        <v>252990230.76229763</v>
      </c>
    </row>
    <row r="43" spans="1:27" ht="15.75" thickBot="1">
      <c r="F43" s="42" t="s">
        <v>33</v>
      </c>
      <c r="G43" s="43">
        <v>0.1075</v>
      </c>
      <c r="J43" s="120" t="s">
        <v>10</v>
      </c>
      <c r="K43" s="160">
        <f>L6</f>
        <v>87575.041050903135</v>
      </c>
      <c r="L43" s="161">
        <f>M6</f>
        <v>1488775.697865353</v>
      </c>
      <c r="M43" s="162">
        <f>L43+K43</f>
        <v>1576350.738916256</v>
      </c>
      <c r="P43" s="163" t="s">
        <v>11</v>
      </c>
      <c r="Q43" s="167">
        <f t="shared" si="8"/>
        <v>0</v>
      </c>
      <c r="R43" s="167">
        <f t="shared" si="8"/>
        <v>1587.5055165746671</v>
      </c>
      <c r="S43" s="123">
        <f>R43+Q43</f>
        <v>1587.5055165746671</v>
      </c>
      <c r="U43" s="120" t="s">
        <v>9</v>
      </c>
      <c r="V43" s="160">
        <f>V11*2+V12+V20+V27</f>
        <v>63351655.604585066</v>
      </c>
      <c r="W43" s="161">
        <f>W11*2+W12+W20+W27</f>
        <v>61133677.720062435</v>
      </c>
      <c r="X43" s="162">
        <f>W43+V43</f>
        <v>124485333.3246475</v>
      </c>
    </row>
    <row r="44" spans="1:27" ht="15.75" thickBot="1">
      <c r="F44" s="61" t="s">
        <v>137</v>
      </c>
      <c r="G44" s="63"/>
      <c r="J44" s="163" t="s">
        <v>11</v>
      </c>
      <c r="K44" s="164">
        <f>L7</f>
        <v>0</v>
      </c>
      <c r="L44" s="165">
        <f>M7</f>
        <v>19126.572488851467</v>
      </c>
      <c r="M44" s="123">
        <f>L44+K44</f>
        <v>19126.572488851467</v>
      </c>
      <c r="P44" s="88" t="s">
        <v>129</v>
      </c>
      <c r="Q44" s="134"/>
      <c r="R44" s="134"/>
      <c r="S44" s="133"/>
      <c r="U44" s="120" t="s">
        <v>10</v>
      </c>
      <c r="V44" s="160">
        <f>V21+V22+V23*2</f>
        <v>81795.088341543538</v>
      </c>
      <c r="W44" s="161">
        <f>W21+W22+W23*2</f>
        <v>1390516.5018062398</v>
      </c>
      <c r="X44" s="162">
        <f>W44+V44</f>
        <v>1472311.5901477833</v>
      </c>
    </row>
    <row r="45" spans="1:27" ht="15.75" thickBot="1">
      <c r="R45" t="s">
        <v>126</v>
      </c>
      <c r="S45" s="66"/>
      <c r="T45" s="66"/>
      <c r="U45" s="163" t="s">
        <v>11</v>
      </c>
      <c r="V45" s="164">
        <f>V19+V20</f>
        <v>0</v>
      </c>
      <c r="W45" s="165">
        <f>W19+W20</f>
        <v>17539.0669722768</v>
      </c>
      <c r="X45" s="123">
        <f>W45+V45</f>
        <v>17539.0669722768</v>
      </c>
      <c r="Y45" s="66"/>
      <c r="Z45" s="66"/>
      <c r="AA45" s="66"/>
    </row>
    <row r="46" spans="1:27" ht="15.75" thickBot="1">
      <c r="R46" t="s">
        <v>126</v>
      </c>
    </row>
    <row r="47" spans="1:27">
      <c r="Q47" s="117" t="s">
        <v>99</v>
      </c>
      <c r="R47" s="179" t="s">
        <v>21</v>
      </c>
      <c r="S47" s="118"/>
      <c r="T47" s="119"/>
    </row>
    <row r="48" spans="1:27">
      <c r="Q48" s="120"/>
      <c r="R48" s="176" t="s">
        <v>13</v>
      </c>
      <c r="S48" s="176" t="s">
        <v>14</v>
      </c>
      <c r="T48" s="166" t="s">
        <v>16</v>
      </c>
    </row>
    <row r="49" spans="17:28">
      <c r="Q49" s="120" t="s">
        <v>11</v>
      </c>
      <c r="R49" s="170">
        <f>U49/100*L7</f>
        <v>0</v>
      </c>
      <c r="S49" s="170">
        <f>U49/100*M7</f>
        <v>1587.5055165746719</v>
      </c>
      <c r="T49" s="162">
        <f>S49+R49</f>
        <v>1587.5055165746719</v>
      </c>
      <c r="U49" s="168">
        <v>8.3000000000000007</v>
      </c>
      <c r="V49" s="140" t="s">
        <v>101</v>
      </c>
      <c r="W49" s="84"/>
    </row>
    <row r="50" spans="17:28">
      <c r="Q50" s="120" t="s">
        <v>10</v>
      </c>
      <c r="R50" s="170">
        <f>U50/100*L6</f>
        <v>5779.9527093596071</v>
      </c>
      <c r="S50" s="170">
        <f>U50/100*M6</f>
        <v>98259.196059113296</v>
      </c>
      <c r="T50" s="162">
        <f>S50+R50</f>
        <v>104039.14876847291</v>
      </c>
      <c r="U50" s="53">
        <v>6.6</v>
      </c>
      <c r="V50" s="141" t="s">
        <v>103</v>
      </c>
      <c r="W50" s="142"/>
    </row>
    <row r="51" spans="17:28">
      <c r="Q51" s="154" t="s">
        <v>127</v>
      </c>
      <c r="R51" s="128">
        <f>U51/100*L5</f>
        <v>1381146.547125</v>
      </c>
      <c r="S51" s="128">
        <f>U51/100*M5</f>
        <v>1398779.836375</v>
      </c>
      <c r="T51" s="129">
        <f>S51+R51</f>
        <v>2779926.3835</v>
      </c>
      <c r="U51" s="169">
        <v>4</v>
      </c>
      <c r="V51" s="137" t="s">
        <v>104</v>
      </c>
      <c r="W51" s="137"/>
      <c r="X51" s="137"/>
      <c r="Y51" s="137"/>
      <c r="Z51" s="143"/>
      <c r="AA51" s="84"/>
      <c r="AB51" s="84"/>
    </row>
    <row r="52" spans="17:28">
      <c r="Q52" s="172" t="s">
        <v>128</v>
      </c>
      <c r="R52" s="173">
        <f>Q41</f>
        <v>14677326.925918087</v>
      </c>
      <c r="S52" s="173">
        <f>R41</f>
        <v>17336137.041690707</v>
      </c>
      <c r="T52" s="174">
        <f>S41</f>
        <v>32013463.967608795</v>
      </c>
    </row>
    <row r="53" spans="17:28">
      <c r="Q53" s="120" t="s">
        <v>8</v>
      </c>
      <c r="R53" s="170">
        <f>Q40</f>
        <v>56822134.829826131</v>
      </c>
      <c r="S53" s="170">
        <f>R40</f>
        <v>59657997.863023758</v>
      </c>
      <c r="T53" s="162">
        <f>S40</f>
        <v>116480132.69284989</v>
      </c>
    </row>
    <row r="54" spans="17:28" ht="15.75" thickBot="1">
      <c r="Q54" s="163" t="s">
        <v>7</v>
      </c>
      <c r="R54" s="171">
        <f>Q39</f>
        <v>19917877.472815983</v>
      </c>
      <c r="S54" s="171">
        <f>R39</f>
        <v>19023795.474615037</v>
      </c>
      <c r="T54" s="123">
        <f>S39</f>
        <v>38941672.94743102</v>
      </c>
    </row>
    <row r="55" spans="17:28">
      <c r="Q55" s="12" t="s">
        <v>12</v>
      </c>
      <c r="R55" s="32" t="s">
        <v>19</v>
      </c>
      <c r="S55" s="18"/>
      <c r="T55" s="18"/>
    </row>
    <row r="56" spans="17:28">
      <c r="Q56" s="6"/>
      <c r="R56" s="178" t="s">
        <v>17</v>
      </c>
      <c r="S56" s="177" t="s">
        <v>18</v>
      </c>
      <c r="T56" s="177" t="s">
        <v>130</v>
      </c>
    </row>
    <row r="57" spans="17:28">
      <c r="Q57" s="6" t="s">
        <v>25</v>
      </c>
      <c r="R57" s="25">
        <f t="shared" ref="R57:R65" si="9">L11</f>
        <v>67794231.847330004</v>
      </c>
      <c r="S57" s="25">
        <f t="shared" ref="S57:S65" si="10">M11</f>
        <v>67794231.847330004</v>
      </c>
      <c r="T57" s="34">
        <f t="shared" ref="T57:T65" si="11">N11</f>
        <v>135588463.69466001</v>
      </c>
    </row>
    <row r="58" spans="17:28">
      <c r="Q58" s="6" t="s">
        <v>26</v>
      </c>
      <c r="R58" s="25">
        <f t="shared" si="9"/>
        <v>954344.28079999995</v>
      </c>
      <c r="S58" s="25">
        <f t="shared" si="10"/>
        <v>954344.28079999995</v>
      </c>
      <c r="T58" s="34">
        <f t="shared" si="11"/>
        <v>1908688.5615999999</v>
      </c>
    </row>
    <row r="59" spans="17:28">
      <c r="Q59" s="6" t="s">
        <v>27</v>
      </c>
      <c r="R59" s="25">
        <f t="shared" si="9"/>
        <v>441384.22986999998</v>
      </c>
      <c r="S59" s="25">
        <f t="shared" si="10"/>
        <v>441384.22986999998</v>
      </c>
      <c r="T59" s="34">
        <f t="shared" si="11"/>
        <v>882768.45973999996</v>
      </c>
    </row>
    <row r="60" spans="17:28">
      <c r="Q60" s="6" t="s">
        <v>28</v>
      </c>
      <c r="R60" s="25">
        <f t="shared" si="9"/>
        <v>5702207.0777799999</v>
      </c>
      <c r="S60" s="25">
        <f t="shared" si="10"/>
        <v>5702207.0777799999</v>
      </c>
      <c r="T60" s="34">
        <f t="shared" si="11"/>
        <v>11404414.15556</v>
      </c>
    </row>
    <row r="61" spans="17:28">
      <c r="Q61" s="6" t="s">
        <v>29</v>
      </c>
      <c r="R61" s="25">
        <f t="shared" si="9"/>
        <v>13181880.378549999</v>
      </c>
      <c r="S61" s="25">
        <f t="shared" si="10"/>
        <v>13181880.378549999</v>
      </c>
      <c r="T61" s="34">
        <f t="shared" si="11"/>
        <v>26363760.757099997</v>
      </c>
    </row>
    <row r="62" spans="17:28">
      <c r="Q62" s="6" t="s">
        <v>30</v>
      </c>
      <c r="R62" s="25">
        <f t="shared" si="9"/>
        <v>357879.1053</v>
      </c>
      <c r="S62" s="25">
        <f t="shared" si="10"/>
        <v>357879.1053</v>
      </c>
      <c r="T62" s="34">
        <f t="shared" si="11"/>
        <v>715758.21059999999</v>
      </c>
    </row>
    <row r="63" spans="17:28">
      <c r="Q63" s="6" t="s">
        <v>31</v>
      </c>
      <c r="R63" s="25">
        <f t="shared" si="9"/>
        <v>10807948.98006</v>
      </c>
      <c r="S63" s="25">
        <f t="shared" si="10"/>
        <v>10807948.98006</v>
      </c>
      <c r="T63" s="34">
        <f t="shared" si="11"/>
        <v>21615897.96012</v>
      </c>
    </row>
    <row r="64" spans="17:28">
      <c r="Q64" s="6" t="s">
        <v>32</v>
      </c>
      <c r="R64" s="25">
        <f t="shared" si="9"/>
        <v>6525329.0199699998</v>
      </c>
      <c r="S64" s="25">
        <f t="shared" si="10"/>
        <v>6525329.0199699998</v>
      </c>
      <c r="T64" s="34">
        <f t="shared" si="11"/>
        <v>13050658.03994</v>
      </c>
    </row>
    <row r="65" spans="17:20" ht="15.75" thickBot="1">
      <c r="Q65" s="11" t="s">
        <v>140</v>
      </c>
      <c r="R65" s="31">
        <f t="shared" si="9"/>
        <v>12824001.273249999</v>
      </c>
      <c r="S65" s="31">
        <f t="shared" si="10"/>
        <v>12824001.273249999</v>
      </c>
      <c r="T65" s="175">
        <f t="shared" si="11"/>
        <v>25648002.546499997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48"/>
  <sheetViews>
    <sheetView workbookViewId="0">
      <selection activeCell="I8" sqref="I8"/>
    </sheetView>
  </sheetViews>
  <sheetFormatPr defaultRowHeight="15"/>
  <cols>
    <col min="7" max="7" width="12.28515625" customWidth="1"/>
    <col min="8" max="8" width="10.7109375" customWidth="1"/>
    <col min="10" max="10" width="12" bestFit="1" customWidth="1"/>
    <col min="11" max="11" width="16.140625" customWidth="1"/>
    <col min="12" max="12" width="11" customWidth="1"/>
    <col min="13" max="13" width="17.85546875" customWidth="1"/>
    <col min="14" max="14" width="13" customWidth="1"/>
    <col min="15" max="15" width="11" bestFit="1" customWidth="1"/>
  </cols>
  <sheetData>
    <row r="1" spans="2:23" ht="15.75" thickBot="1">
      <c r="L1" s="99" t="s">
        <v>158</v>
      </c>
      <c r="M1" s="220"/>
      <c r="N1" s="108"/>
      <c r="O1" s="69" t="s">
        <v>250</v>
      </c>
    </row>
    <row r="2" spans="2:23" ht="15.75" thickBot="1">
      <c r="B2" s="12" t="s">
        <v>148</v>
      </c>
      <c r="C2" s="4" t="s">
        <v>21</v>
      </c>
      <c r="D2" s="75"/>
      <c r="E2" s="5"/>
      <c r="G2" s="12" t="s">
        <v>156</v>
      </c>
      <c r="H2" s="75"/>
      <c r="I2" s="5"/>
      <c r="L2" s="102" t="s">
        <v>162</v>
      </c>
      <c r="M2" s="55"/>
      <c r="N2" s="109">
        <f>(N3-32)*5/9</f>
        <v>965.55555555555554</v>
      </c>
      <c r="O2" s="49">
        <f>N2+273.15</f>
        <v>1238.7055555555555</v>
      </c>
    </row>
    <row r="3" spans="2:23">
      <c r="B3" s="6"/>
      <c r="C3" s="95" t="s">
        <v>13</v>
      </c>
      <c r="D3" s="95" t="s">
        <v>14</v>
      </c>
      <c r="E3" s="68" t="s">
        <v>16</v>
      </c>
      <c r="G3" s="115" t="s">
        <v>151</v>
      </c>
      <c r="H3" s="340" t="s">
        <v>152</v>
      </c>
      <c r="I3" s="8">
        <f>Q10</f>
        <v>0.37844721204691145</v>
      </c>
      <c r="L3" s="102" t="s">
        <v>161</v>
      </c>
      <c r="M3" s="55"/>
      <c r="N3" s="109">
        <f>Energy!L7</f>
        <v>1770</v>
      </c>
      <c r="O3" s="99" t="s">
        <v>164</v>
      </c>
      <c r="P3" s="220"/>
      <c r="Q3" s="108"/>
    </row>
    <row r="4" spans="2:23" ht="15.75" thickBot="1">
      <c r="B4" s="6" t="s">
        <v>11</v>
      </c>
      <c r="C4" s="20">
        <f>'Gasifier Material'!R49</f>
        <v>0</v>
      </c>
      <c r="D4" s="20">
        <f>'Gasifier Material'!S49</f>
        <v>1587.5055165746719</v>
      </c>
      <c r="E4" s="21">
        <f>'Gasifier Material'!T49</f>
        <v>1587.5055165746719</v>
      </c>
      <c r="G4" s="112" t="s">
        <v>153</v>
      </c>
      <c r="H4" s="124"/>
      <c r="I4" s="107"/>
      <c r="L4" s="102" t="s">
        <v>160</v>
      </c>
      <c r="M4" s="55"/>
      <c r="N4" s="109">
        <f>N3+459.67</f>
        <v>2229.67</v>
      </c>
      <c r="O4" s="222" t="s">
        <v>165</v>
      </c>
      <c r="P4" s="232"/>
      <c r="Q4" s="233">
        <f>'Gasifier Material'!U4</f>
        <v>1913.67</v>
      </c>
    </row>
    <row r="5" spans="2:23">
      <c r="B5" s="6" t="s">
        <v>10</v>
      </c>
      <c r="C5" s="20">
        <f>'Gasifier Material'!R50</f>
        <v>5779.9527093596071</v>
      </c>
      <c r="D5" s="20">
        <f>'Gasifier Material'!S50</f>
        <v>98259.196059113296</v>
      </c>
      <c r="E5" s="21">
        <f>'Gasifier Material'!T50</f>
        <v>104039.14876847291</v>
      </c>
      <c r="G5" s="99" t="s">
        <v>157</v>
      </c>
      <c r="H5" s="220" t="s">
        <v>155</v>
      </c>
      <c r="I5" s="108">
        <v>37</v>
      </c>
      <c r="L5" s="144" t="s">
        <v>163</v>
      </c>
      <c r="M5" s="62"/>
      <c r="N5" s="135"/>
    </row>
    <row r="6" spans="2:23" ht="15.75" thickBot="1">
      <c r="B6" s="182" t="s">
        <v>9</v>
      </c>
      <c r="C6" s="20">
        <f>'Gasifier Material'!R52</f>
        <v>14677326.925918087</v>
      </c>
      <c r="D6" s="20">
        <f>'Gasifier Material'!S52</f>
        <v>17336137.041690707</v>
      </c>
      <c r="E6" s="21">
        <f>'Gasifier Material'!T52</f>
        <v>32013463.967608795</v>
      </c>
      <c r="G6" s="112" t="s">
        <v>90</v>
      </c>
      <c r="H6" s="124"/>
      <c r="I6" s="107"/>
      <c r="L6" s="102" t="s">
        <v>159</v>
      </c>
      <c r="M6" s="55"/>
      <c r="N6" s="109">
        <v>23</v>
      </c>
    </row>
    <row r="7" spans="2:23" ht="15.75" thickBot="1">
      <c r="B7" s="6" t="s">
        <v>8</v>
      </c>
      <c r="C7" s="20">
        <f>'Gasifier Material'!R53</f>
        <v>56822134.829826131</v>
      </c>
      <c r="D7" s="20">
        <f>'Gasifier Material'!S53</f>
        <v>59657997.863023758</v>
      </c>
      <c r="E7" s="21">
        <f>'Gasifier Material'!T53</f>
        <v>116480132.69284989</v>
      </c>
      <c r="G7" s="12" t="s">
        <v>166</v>
      </c>
      <c r="H7" s="75"/>
      <c r="I7" s="5" t="s">
        <v>16</v>
      </c>
      <c r="L7" s="112"/>
      <c r="M7" s="124"/>
      <c r="N7" s="107"/>
    </row>
    <row r="8" spans="2:23" ht="15.75" thickBot="1">
      <c r="B8" s="11" t="s">
        <v>7</v>
      </c>
      <c r="C8" s="20">
        <f>'Gasifier Material'!R54</f>
        <v>19917877.472815983</v>
      </c>
      <c r="D8" s="20">
        <f>'Gasifier Material'!S54</f>
        <v>19023795.474615037</v>
      </c>
      <c r="E8" s="21">
        <f>'Gasifier Material'!T54</f>
        <v>38941672.94743102</v>
      </c>
      <c r="G8" s="116" t="s">
        <v>19</v>
      </c>
      <c r="H8" s="80"/>
      <c r="I8" s="30">
        <f>$I$5*'Gasifier Material'!I9</f>
        <v>113466383000</v>
      </c>
    </row>
    <row r="9" spans="2:23" ht="15.75" thickBot="1">
      <c r="B9" s="12" t="s">
        <v>12</v>
      </c>
      <c r="C9" s="32" t="s">
        <v>19</v>
      </c>
      <c r="D9" s="18"/>
      <c r="E9" s="18"/>
      <c r="G9" s="91" t="s">
        <v>167</v>
      </c>
      <c r="H9" s="239"/>
      <c r="I9" s="77">
        <f>I8*I3*(N4-Q4)</f>
        <v>13569367473137.475</v>
      </c>
      <c r="J9" s="231"/>
      <c r="K9" s="220" t="s">
        <v>235</v>
      </c>
      <c r="L9" s="220" t="s">
        <v>236</v>
      </c>
      <c r="M9" s="220" t="s">
        <v>7</v>
      </c>
      <c r="N9" s="220" t="s">
        <v>237</v>
      </c>
      <c r="O9" s="108" t="s">
        <v>238</v>
      </c>
      <c r="P9" s="76" t="s">
        <v>207</v>
      </c>
      <c r="Q9" s="311" t="s">
        <v>219</v>
      </c>
    </row>
    <row r="10" spans="2:23" ht="15.75" thickBot="1">
      <c r="B10" s="6"/>
      <c r="C10" s="178" t="s">
        <v>17</v>
      </c>
      <c r="D10" s="177" t="s">
        <v>18</v>
      </c>
      <c r="E10" s="177" t="s">
        <v>130</v>
      </c>
      <c r="I10" s="67">
        <f>I9*1.01</f>
        <v>13705061147868.85</v>
      </c>
      <c r="J10" s="222" t="s">
        <v>25</v>
      </c>
      <c r="K10" s="232">
        <v>4.8710000000000004</v>
      </c>
      <c r="L10" s="232">
        <v>5.3650000000000002</v>
      </c>
      <c r="M10" s="232"/>
      <c r="N10" s="232">
        <v>-1.0009999999999999</v>
      </c>
      <c r="O10" s="126">
        <f>8.314*(K10+L10*0.001*$O$2+M10*0.000001*$O$2^2+N10*100000*$O$2^-2)</f>
        <v>95.207086890022751</v>
      </c>
      <c r="P10" s="308">
        <f>O10/(60.0843)</f>
        <v>1.5845584768404184</v>
      </c>
      <c r="Q10" s="313">
        <f>P10/4.187</f>
        <v>0.37844721204691145</v>
      </c>
    </row>
    <row r="11" spans="2:23" ht="15.75" thickBot="1">
      <c r="B11" s="6" t="s">
        <v>25</v>
      </c>
      <c r="C11" s="25">
        <f>'Gasifier Material'!R57</f>
        <v>67794231.847330004</v>
      </c>
      <c r="D11" s="25">
        <f>'Gasifier Material'!S57</f>
        <v>67794231.847330004</v>
      </c>
      <c r="E11" s="34">
        <f>'Gasifier Material'!T57</f>
        <v>135588463.69466001</v>
      </c>
    </row>
    <row r="12" spans="2:23">
      <c r="B12" s="6" t="s">
        <v>26</v>
      </c>
      <c r="C12" s="25">
        <f>'Gasifier Material'!R58</f>
        <v>954344.28079999995</v>
      </c>
      <c r="D12" s="25">
        <f>'Gasifier Material'!S58</f>
        <v>954344.28079999995</v>
      </c>
      <c r="E12" s="34">
        <f>'Gasifier Material'!T58</f>
        <v>1908688.5615999999</v>
      </c>
      <c r="G12" s="12" t="s">
        <v>190</v>
      </c>
      <c r="H12" s="4" t="s">
        <v>21</v>
      </c>
      <c r="I12" s="75"/>
      <c r="J12" s="37"/>
      <c r="K12" s="2" t="s">
        <v>200</v>
      </c>
      <c r="L12" s="219" t="s">
        <v>176</v>
      </c>
      <c r="M12" s="2" t="s">
        <v>201</v>
      </c>
      <c r="N12" s="46" t="s">
        <v>177</v>
      </c>
      <c r="O12" s="2" t="s">
        <v>182</v>
      </c>
    </row>
    <row r="13" spans="2:23">
      <c r="B13" s="6" t="s">
        <v>27</v>
      </c>
      <c r="C13" s="25">
        <f>'Gasifier Material'!R59</f>
        <v>441384.22986999998</v>
      </c>
      <c r="D13" s="25">
        <f>'Gasifier Material'!S59</f>
        <v>441384.22986999998</v>
      </c>
      <c r="E13" s="34">
        <f>'Gasifier Material'!T59</f>
        <v>882768.45973999996</v>
      </c>
      <c r="G13" s="6"/>
      <c r="H13" s="95" t="s">
        <v>13</v>
      </c>
      <c r="I13" s="95" t="s">
        <v>14</v>
      </c>
      <c r="J13" s="241" t="s">
        <v>16</v>
      </c>
      <c r="K13" s="241" t="s">
        <v>189</v>
      </c>
      <c r="L13" s="221" t="s">
        <v>170</v>
      </c>
      <c r="M13" s="241" t="s">
        <v>181</v>
      </c>
      <c r="N13" s="246" t="s">
        <v>178</v>
      </c>
      <c r="O13" s="241" t="s">
        <v>183</v>
      </c>
    </row>
    <row r="14" spans="2:23">
      <c r="B14" s="6" t="s">
        <v>28</v>
      </c>
      <c r="C14" s="25">
        <f>'Gasifier Material'!R60</f>
        <v>5702207.0777799999</v>
      </c>
      <c r="D14" s="25">
        <f>'Gasifier Material'!S60</f>
        <v>5702207.0777799999</v>
      </c>
      <c r="E14" s="34">
        <f>'Gasifier Material'!T60</f>
        <v>11404414.15556</v>
      </c>
      <c r="G14" s="6" t="s">
        <v>36</v>
      </c>
      <c r="H14" s="20">
        <f>C8</f>
        <v>19917877.472815983</v>
      </c>
      <c r="I14" s="20">
        <f t="shared" ref="I14:J14" si="0">D8</f>
        <v>19023795.474615037</v>
      </c>
      <c r="J14" s="192">
        <f t="shared" si="0"/>
        <v>38941672.94743102</v>
      </c>
      <c r="K14" s="192">
        <f>J14*2</f>
        <v>77883345.894862041</v>
      </c>
      <c r="L14" s="55">
        <f>393.77*H20</f>
        <v>169290.77971</v>
      </c>
      <c r="M14" s="192">
        <f>L14*J14</f>
        <v>6592466176482.4111</v>
      </c>
      <c r="N14" s="47">
        <v>0.21</v>
      </c>
      <c r="O14" s="192">
        <f>N14*J14*($N$4-$Q$4)</f>
        <v>2584169416.7915225</v>
      </c>
    </row>
    <row r="15" spans="2:23">
      <c r="B15" s="6" t="s">
        <v>29</v>
      </c>
      <c r="C15" s="25">
        <f>'Gasifier Material'!R61</f>
        <v>13181880.378549999</v>
      </c>
      <c r="D15" s="25">
        <f>'Gasifier Material'!S61</f>
        <v>13181880.378549999</v>
      </c>
      <c r="E15" s="34">
        <f>'Gasifier Material'!T61</f>
        <v>26363760.757099997</v>
      </c>
      <c r="G15" s="6" t="s">
        <v>69</v>
      </c>
      <c r="H15" s="20">
        <f>C5/2*69/75</f>
        <v>2658.7782463054191</v>
      </c>
      <c r="I15" s="20">
        <f t="shared" ref="I15:J15" si="1">D5/2*69/75</f>
        <v>45199.230187192115</v>
      </c>
      <c r="J15" s="192">
        <f t="shared" si="1"/>
        <v>47858.008433497533</v>
      </c>
      <c r="K15" s="192">
        <f>J15*0</f>
        <v>0</v>
      </c>
      <c r="L15" s="55"/>
      <c r="M15" s="244"/>
      <c r="N15" s="47">
        <v>0.25</v>
      </c>
      <c r="O15" s="192">
        <f>N15*J15*($N$4-$Q$4)</f>
        <v>3780782.6662463052</v>
      </c>
      <c r="S15" s="218">
        <v>0.05</v>
      </c>
    </row>
    <row r="16" spans="2:23">
      <c r="B16" s="6" t="s">
        <v>30</v>
      </c>
      <c r="C16" s="25">
        <f>'Gasifier Material'!R62</f>
        <v>357879.1053</v>
      </c>
      <c r="D16" s="25">
        <f>'Gasifier Material'!S62</f>
        <v>357879.1053</v>
      </c>
      <c r="E16" s="34">
        <f>'Gasifier Material'!T62</f>
        <v>715758.21059999999</v>
      </c>
      <c r="G16" s="6" t="s">
        <v>194</v>
      </c>
      <c r="H16" s="20">
        <f>C5*6/75</f>
        <v>462.39621674876855</v>
      </c>
      <c r="I16" s="20">
        <f t="shared" ref="I16:J16" si="2">D5*6/75</f>
        <v>7860.735684729063</v>
      </c>
      <c r="J16" s="192">
        <f t="shared" si="2"/>
        <v>8323.1319014778328</v>
      </c>
      <c r="K16" s="192">
        <f>J16*2</f>
        <v>16646.263802955666</v>
      </c>
      <c r="L16" s="55"/>
      <c r="M16" s="192"/>
      <c r="N16" s="47">
        <v>0.23</v>
      </c>
      <c r="O16" s="192">
        <f>N16*J16*($N$4-$Q$4)</f>
        <v>604925.2265994089</v>
      </c>
      <c r="S16" t="s">
        <v>141</v>
      </c>
      <c r="W16" t="s">
        <v>144</v>
      </c>
    </row>
    <row r="17" spans="2:24">
      <c r="B17" s="6" t="s">
        <v>31</v>
      </c>
      <c r="C17" s="25">
        <f>'Gasifier Material'!R63</f>
        <v>10807948.98006</v>
      </c>
      <c r="D17" s="25">
        <f>'Gasifier Material'!S63</f>
        <v>10807948.98006</v>
      </c>
      <c r="E17" s="34">
        <f>'Gasifier Material'!T63</f>
        <v>21615897.96012</v>
      </c>
      <c r="G17" s="6" t="s">
        <v>75</v>
      </c>
      <c r="H17" s="20">
        <f>C7/2</f>
        <v>28411067.414913066</v>
      </c>
      <c r="I17" s="20">
        <f>D7/2</f>
        <v>29828998.931511879</v>
      </c>
      <c r="J17" s="192">
        <f>E7/2</f>
        <v>58240066.346424945</v>
      </c>
      <c r="K17" s="192">
        <f>J17</f>
        <v>58240066.346424945</v>
      </c>
      <c r="L17" s="55">
        <f>285.84*H20</f>
        <v>122889.19031999999</v>
      </c>
      <c r="M17" s="192">
        <f>L17*J17</f>
        <v>7157074597495.2422</v>
      </c>
      <c r="N17" s="47">
        <v>0.47</v>
      </c>
      <c r="O17" s="192">
        <f>N17*J17*($N$4-$Q$4)</f>
        <v>8649814653.7710323</v>
      </c>
    </row>
    <row r="18" spans="2:24" ht="15.75" thickBot="1">
      <c r="B18" s="6" t="s">
        <v>32</v>
      </c>
      <c r="C18" s="25">
        <f>'Gasifier Material'!R64</f>
        <v>6525329.0199699998</v>
      </c>
      <c r="D18" s="25">
        <f>'Gasifier Material'!S64</f>
        <v>6525329.0199699998</v>
      </c>
      <c r="E18" s="34">
        <f>'Gasifier Material'!T64</f>
        <v>13050658.03994</v>
      </c>
      <c r="G18" s="11" t="s">
        <v>169</v>
      </c>
      <c r="H18" s="80">
        <f>C4</f>
        <v>0</v>
      </c>
      <c r="I18" s="80">
        <f>D4</f>
        <v>1587.5055165746719</v>
      </c>
      <c r="J18" s="73">
        <f>E4</f>
        <v>1587.5055165746719</v>
      </c>
      <c r="K18" s="73">
        <f>J18*2</f>
        <v>3175.0110331493438</v>
      </c>
      <c r="L18" s="55">
        <f>296*H20</f>
        <v>127257.208</v>
      </c>
      <c r="M18" s="192">
        <f>L18*J18</f>
        <v>202021519.72389045</v>
      </c>
      <c r="N18" s="47">
        <v>0.15</v>
      </c>
      <c r="O18" s="192">
        <f>N18*J18*($N$4-$Q$4)</f>
        <v>75247.761485639436</v>
      </c>
      <c r="W18" t="s">
        <v>146</v>
      </c>
      <c r="X18" t="s">
        <v>147</v>
      </c>
    </row>
    <row r="19" spans="2:24" ht="15.75" thickBot="1">
      <c r="B19" s="11" t="s">
        <v>140</v>
      </c>
      <c r="C19" s="31">
        <f>'Gasifier Material'!R65</f>
        <v>12824001.273249999</v>
      </c>
      <c r="D19" s="31">
        <f>'Gasifier Material'!S65</f>
        <v>12824001.273249999</v>
      </c>
      <c r="E19" s="175">
        <f>'Gasifier Material'!T65</f>
        <v>25648002.546499997</v>
      </c>
      <c r="G19" s="11" t="s">
        <v>16</v>
      </c>
      <c r="H19" s="80">
        <f>SUM(H14:H18)</f>
        <v>48332066.062192105</v>
      </c>
      <c r="I19" s="80">
        <f t="shared" ref="I19:K19" si="3">SUM(I14:I18)</f>
        <v>48907441.877515413</v>
      </c>
      <c r="J19" s="73">
        <f t="shared" si="3"/>
        <v>97239507.939707518</v>
      </c>
      <c r="K19" s="73">
        <f t="shared" si="3"/>
        <v>136143233.51612309</v>
      </c>
      <c r="L19" s="230"/>
      <c r="M19" s="215">
        <f t="shared" ref="M19" si="4">SUM(M14:M18)</f>
        <v>13749742795497.377</v>
      </c>
      <c r="N19" s="249"/>
      <c r="O19" s="215">
        <f t="shared" ref="O19" si="5">SUM(O14:O18)</f>
        <v>11238445026.216887</v>
      </c>
    </row>
    <row r="20" spans="2:24" ht="15.75" thickBot="1">
      <c r="B20" s="224" t="s">
        <v>148</v>
      </c>
      <c r="C20" s="225"/>
      <c r="D20" s="225"/>
      <c r="E20" s="225"/>
      <c r="G20" s="89" t="s">
        <v>175</v>
      </c>
      <c r="H20" s="125">
        <v>429.923</v>
      </c>
      <c r="I20" s="126" t="s">
        <v>170</v>
      </c>
      <c r="N20" s="44" t="s">
        <v>180</v>
      </c>
      <c r="S20" t="s">
        <v>142</v>
      </c>
    </row>
    <row r="21" spans="2:24">
      <c r="G21" s="224" t="s">
        <v>174</v>
      </c>
      <c r="H21" s="225"/>
      <c r="I21" s="225"/>
      <c r="J21" s="225"/>
      <c r="K21" s="225"/>
      <c r="S21" t="s">
        <v>143</v>
      </c>
    </row>
    <row r="22" spans="2:24">
      <c r="G22" s="224" t="s">
        <v>172</v>
      </c>
      <c r="H22" s="225"/>
      <c r="I22" s="225"/>
      <c r="J22" s="225"/>
      <c r="K22" s="225"/>
      <c r="S22" t="s">
        <v>145</v>
      </c>
    </row>
    <row r="23" spans="2:24">
      <c r="G23" s="224" t="s">
        <v>193</v>
      </c>
      <c r="H23" s="225"/>
      <c r="I23" s="225"/>
      <c r="J23" s="225"/>
      <c r="K23" s="225"/>
      <c r="L23" s="225"/>
    </row>
    <row r="24" spans="2:24" ht="15.75">
      <c r="G24" s="224" t="s">
        <v>171</v>
      </c>
      <c r="H24" s="225"/>
      <c r="I24" s="225"/>
      <c r="J24" s="225"/>
      <c r="K24" s="245"/>
    </row>
    <row r="25" spans="2:24" ht="15.75" thickBot="1">
      <c r="G25">
        <v>285.83999999999997</v>
      </c>
    </row>
    <row r="26" spans="2:24">
      <c r="G26" s="12" t="s">
        <v>173</v>
      </c>
      <c r="H26" s="13" t="s">
        <v>21</v>
      </c>
      <c r="I26" s="219" t="s">
        <v>188</v>
      </c>
      <c r="J26" s="2" t="s">
        <v>182</v>
      </c>
      <c r="M26" s="12" t="s">
        <v>149</v>
      </c>
      <c r="N26" s="13" t="s">
        <v>21</v>
      </c>
    </row>
    <row r="27" spans="2:24">
      <c r="G27" s="6"/>
      <c r="H27" s="68" t="s">
        <v>16</v>
      </c>
      <c r="I27" s="221" t="s">
        <v>178</v>
      </c>
      <c r="J27" s="241" t="s">
        <v>183</v>
      </c>
      <c r="L27" s="67"/>
      <c r="M27" s="19"/>
      <c r="N27" s="68" t="s">
        <v>16</v>
      </c>
    </row>
    <row r="28" spans="2:24">
      <c r="G28" s="6" t="s">
        <v>184</v>
      </c>
      <c r="H28" s="21">
        <f>(K19/2-E6/2)*K32</f>
        <v>62477861.729108572</v>
      </c>
      <c r="I28" s="55">
        <v>0.22</v>
      </c>
      <c r="J28" s="192">
        <f>I28*H28*($N$4-$H$32)</f>
        <v>22267109920.254295</v>
      </c>
      <c r="M28" s="6" t="s">
        <v>69</v>
      </c>
      <c r="N28" s="21">
        <f>H29+J15</f>
        <v>232108487.28797963</v>
      </c>
    </row>
    <row r="29" spans="2:24" ht="15.75" thickBot="1">
      <c r="G29" s="11" t="s">
        <v>69</v>
      </c>
      <c r="H29" s="30">
        <f>H28/0.21*0.78</f>
        <v>232060629.27954614</v>
      </c>
      <c r="I29" s="55">
        <v>0.25</v>
      </c>
      <c r="J29" s="192">
        <f>I29*H29*($N$4-$H$32)</f>
        <v>93984554858.216187</v>
      </c>
      <c r="M29" s="6" t="s">
        <v>184</v>
      </c>
      <c r="N29" s="21">
        <f>H28+E6/2-K19/2</f>
        <v>10412976.954851434</v>
      </c>
    </row>
    <row r="30" spans="2:24" ht="15.75" thickBot="1">
      <c r="G30" s="116" t="s">
        <v>16</v>
      </c>
      <c r="H30" s="30">
        <f>H29+H28</f>
        <v>294538491.00865471</v>
      </c>
      <c r="I30" s="253"/>
      <c r="J30" s="215">
        <f>J29+J28</f>
        <v>116251664778.47049</v>
      </c>
      <c r="M30" s="6" t="s">
        <v>75</v>
      </c>
      <c r="N30" s="21">
        <f>K17</f>
        <v>58240066.346424945</v>
      </c>
    </row>
    <row r="31" spans="2:24">
      <c r="G31" s="102" t="s">
        <v>185</v>
      </c>
      <c r="H31" s="252">
        <v>150</v>
      </c>
      <c r="M31" s="6" t="s">
        <v>36</v>
      </c>
      <c r="N31" s="21">
        <f>J14</f>
        <v>38941672.94743102</v>
      </c>
    </row>
    <row r="32" spans="2:24">
      <c r="G32" s="102" t="s">
        <v>186</v>
      </c>
      <c r="H32" s="252">
        <f>H31+459.67</f>
        <v>609.67000000000007</v>
      </c>
      <c r="J32" s="79" t="s">
        <v>259</v>
      </c>
      <c r="K32" s="79">
        <v>1.2</v>
      </c>
      <c r="M32" s="6" t="s">
        <v>194</v>
      </c>
      <c r="N32" s="21">
        <f>I16</f>
        <v>7860.735684729063</v>
      </c>
    </row>
    <row r="33" spans="1:14" ht="15.75" thickBot="1">
      <c r="G33" s="222" t="s">
        <v>187</v>
      </c>
      <c r="H33" s="233">
        <v>23</v>
      </c>
      <c r="M33" s="11" t="s">
        <v>169</v>
      </c>
      <c r="N33" s="30">
        <f>I18</f>
        <v>1587.5055165746719</v>
      </c>
    </row>
    <row r="34" spans="1:14" ht="15.75" thickBot="1">
      <c r="G34" s="224" t="s">
        <v>191</v>
      </c>
      <c r="H34" s="225"/>
      <c r="I34" s="225"/>
      <c r="M34" s="91" t="s">
        <v>16</v>
      </c>
      <c r="N34" s="240">
        <f>SUM(N28:N33)</f>
        <v>339712651.77788836</v>
      </c>
    </row>
    <row r="35" spans="1:14" ht="15.75" thickBot="1">
      <c r="M35" s="116" t="s">
        <v>192</v>
      </c>
      <c r="N35" s="30">
        <f>SUM(N28:N31)</f>
        <v>339703203.53668702</v>
      </c>
    </row>
    <row r="39" spans="1:14">
      <c r="A39" t="s">
        <v>85</v>
      </c>
    </row>
    <row r="40" spans="1:14">
      <c r="A40">
        <v>1</v>
      </c>
      <c r="B40" t="s">
        <v>86</v>
      </c>
    </row>
    <row r="41" spans="1:14">
      <c r="A41">
        <v>2</v>
      </c>
      <c r="B41" t="s">
        <v>87</v>
      </c>
    </row>
    <row r="42" spans="1:14">
      <c r="A42">
        <v>3</v>
      </c>
      <c r="B42" t="s">
        <v>92</v>
      </c>
    </row>
    <row r="43" spans="1:14">
      <c r="A43">
        <v>4</v>
      </c>
      <c r="B43" t="s">
        <v>94</v>
      </c>
    </row>
    <row r="44" spans="1:14">
      <c r="A44">
        <v>5</v>
      </c>
      <c r="B44" t="s">
        <v>135</v>
      </c>
    </row>
    <row r="45" spans="1:14">
      <c r="A45">
        <v>6</v>
      </c>
      <c r="B45" t="s">
        <v>138</v>
      </c>
    </row>
    <row r="46" spans="1:14">
      <c r="A46">
        <v>7</v>
      </c>
      <c r="B46" t="s">
        <v>150</v>
      </c>
    </row>
    <row r="47" spans="1:14">
      <c r="A47">
        <v>8</v>
      </c>
      <c r="B47" t="s">
        <v>168</v>
      </c>
    </row>
    <row r="48" spans="1:14">
      <c r="A48">
        <v>9</v>
      </c>
      <c r="B48" s="250" t="s">
        <v>179</v>
      </c>
    </row>
  </sheetData>
  <hyperlinks>
    <hyperlink ref="B48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C74"/>
  <sheetViews>
    <sheetView topLeftCell="I1" workbookViewId="0">
      <selection activeCell="N12" sqref="N12"/>
    </sheetView>
  </sheetViews>
  <sheetFormatPr defaultRowHeight="15"/>
  <cols>
    <col min="2" max="2" width="11.42578125" customWidth="1"/>
    <col min="3" max="3" width="12.7109375" customWidth="1"/>
    <col min="6" max="6" width="10" bestFit="1" customWidth="1"/>
    <col min="7" max="7" width="9.28515625" bestFit="1" customWidth="1"/>
    <col min="9" max="9" width="9.28515625" bestFit="1" customWidth="1"/>
    <col min="14" max="14" width="9.28515625" bestFit="1" customWidth="1"/>
    <col min="15" max="15" width="11.28515625" bestFit="1" customWidth="1"/>
    <col min="16" max="16" width="9.28515625" bestFit="1" customWidth="1"/>
    <col min="18" max="18" width="12" bestFit="1" customWidth="1"/>
    <col min="19" max="20" width="9.28515625" bestFit="1" customWidth="1"/>
    <col min="24" max="24" width="9.28515625" bestFit="1" customWidth="1"/>
    <col min="25" max="25" width="12" bestFit="1" customWidth="1"/>
    <col min="30" max="30" width="9.28515625" bestFit="1" customWidth="1"/>
  </cols>
  <sheetData>
    <row r="1" spans="1:29" ht="15.75" thickBot="1">
      <c r="P1" s="317"/>
    </row>
    <row r="2" spans="1:29" ht="15.75" thickBot="1">
      <c r="N2" s="117" t="s">
        <v>232</v>
      </c>
      <c r="O2" s="119"/>
      <c r="P2" s="247"/>
      <c r="Q2" s="179" t="s">
        <v>246</v>
      </c>
      <c r="R2" s="119"/>
      <c r="T2" s="117" t="s">
        <v>264</v>
      </c>
      <c r="U2" s="119">
        <v>1</v>
      </c>
    </row>
    <row r="3" spans="1:29" ht="15.75" thickBot="1">
      <c r="N3" s="272" t="s">
        <v>183</v>
      </c>
      <c r="O3" s="320">
        <f>C60+C49+C37+C27</f>
        <v>-17190962295202.248</v>
      </c>
      <c r="P3" s="247"/>
      <c r="Q3" s="316" t="s">
        <v>183</v>
      </c>
      <c r="R3" s="320">
        <f>S41+S28</f>
        <v>-17004541118900.273</v>
      </c>
      <c r="T3" s="310" t="s">
        <v>265</v>
      </c>
      <c r="U3" s="273">
        <f>R48</f>
        <v>14989675662.783825</v>
      </c>
    </row>
    <row r="4" spans="1:29" ht="15.75" thickBot="1">
      <c r="P4" s="247"/>
    </row>
    <row r="5" spans="1:29" ht="15.75" thickBot="1">
      <c r="J5" s="234" t="s">
        <v>257</v>
      </c>
      <c r="K5" s="227"/>
      <c r="L5" s="228"/>
      <c r="P5" s="247"/>
    </row>
    <row r="6" spans="1:29" ht="15.75" thickBot="1">
      <c r="A6" s="67"/>
      <c r="F6" s="231" t="s">
        <v>217</v>
      </c>
      <c r="G6" s="108"/>
      <c r="J6" s="243" t="s">
        <v>254</v>
      </c>
      <c r="K6" s="251"/>
      <c r="L6" s="229">
        <v>220</v>
      </c>
      <c r="N6" s="117" t="s">
        <v>232</v>
      </c>
      <c r="O6" s="119"/>
      <c r="P6" s="242"/>
      <c r="Q6" s="179" t="s">
        <v>246</v>
      </c>
      <c r="R6" s="119"/>
    </row>
    <row r="7" spans="1:29" ht="15.75" thickBot="1">
      <c r="A7" s="67"/>
      <c r="B7" s="99" t="s">
        <v>131</v>
      </c>
      <c r="C7" s="220"/>
      <c r="D7" s="108"/>
      <c r="F7" s="102" t="s">
        <v>185</v>
      </c>
      <c r="G7" s="109">
        <f>25*9/5+32</f>
        <v>77</v>
      </c>
      <c r="J7" s="243" t="s">
        <v>253</v>
      </c>
      <c r="K7" s="251"/>
      <c r="L7" s="229">
        <v>1770</v>
      </c>
      <c r="N7" s="272" t="s">
        <v>183</v>
      </c>
      <c r="O7" s="342">
        <f>O3+U3</f>
        <v>-17175972619539.465</v>
      </c>
      <c r="P7" s="247"/>
      <c r="Q7" s="316" t="s">
        <v>183</v>
      </c>
      <c r="R7" s="342">
        <f>R3+O3*0.01</f>
        <v>-17176450741852.297</v>
      </c>
    </row>
    <row r="8" spans="1:29" ht="15.75" thickBot="1">
      <c r="A8" s="67"/>
      <c r="B8" s="102" t="s">
        <v>215</v>
      </c>
      <c r="C8" s="55"/>
      <c r="D8" s="109">
        <f>L6</f>
        <v>220</v>
      </c>
      <c r="F8" s="222" t="s">
        <v>218</v>
      </c>
      <c r="G8" s="309">
        <v>14.7</v>
      </c>
      <c r="J8" s="243" t="s">
        <v>255</v>
      </c>
      <c r="K8" s="251"/>
      <c r="L8" s="229">
        <v>500</v>
      </c>
      <c r="P8" s="247"/>
    </row>
    <row r="9" spans="1:29" ht="15.75" thickBot="1">
      <c r="A9" s="67"/>
      <c r="B9" s="102" t="s">
        <v>159</v>
      </c>
      <c r="C9" s="55"/>
      <c r="D9" s="109">
        <v>23</v>
      </c>
      <c r="J9" s="235" t="s">
        <v>256</v>
      </c>
      <c r="K9" s="236"/>
      <c r="L9" s="237">
        <v>700</v>
      </c>
      <c r="P9" s="247"/>
      <c r="Q9" s="75" t="s">
        <v>248</v>
      </c>
      <c r="R9" s="311">
        <f>R10/2</f>
        <v>727</v>
      </c>
      <c r="S9" s="76" t="s">
        <v>250</v>
      </c>
      <c r="T9" s="311">
        <f>(R9-32)*5/9+273.15</f>
        <v>659.26111111111106</v>
      </c>
    </row>
    <row r="10" spans="1:29" ht="15.75" thickBot="1">
      <c r="A10" s="67"/>
      <c r="B10" s="222" t="s">
        <v>216</v>
      </c>
      <c r="C10" s="232"/>
      <c r="D10" s="233">
        <f>'Gasifier Material'!U2</f>
        <v>1454</v>
      </c>
      <c r="J10" s="318" t="s">
        <v>258</v>
      </c>
      <c r="K10" s="238"/>
      <c r="L10" s="319">
        <v>1454</v>
      </c>
      <c r="P10" s="247"/>
      <c r="Q10" s="239" t="s">
        <v>247</v>
      </c>
      <c r="R10" s="311">
        <f>'Gasifier Material'!U2</f>
        <v>1454</v>
      </c>
      <c r="S10" s="76" t="s">
        <v>239</v>
      </c>
      <c r="T10" s="311">
        <f>(R10-32)*5/9+273.15</f>
        <v>1063.1500000000001</v>
      </c>
      <c r="U10" s="76" t="s">
        <v>260</v>
      </c>
      <c r="V10" s="311">
        <f>(G7-32)*5/9</f>
        <v>25</v>
      </c>
    </row>
    <row r="11" spans="1:29">
      <c r="A11" s="67"/>
      <c r="B11" s="12" t="s">
        <v>204</v>
      </c>
      <c r="C11" s="37"/>
      <c r="D11" s="46" t="s">
        <v>42</v>
      </c>
      <c r="E11" s="13" t="s">
        <v>211</v>
      </c>
      <c r="G11" s="67"/>
      <c r="P11" s="247"/>
      <c r="Q11" s="4" t="s">
        <v>46</v>
      </c>
      <c r="R11" s="2" t="s">
        <v>21</v>
      </c>
      <c r="S11" s="13" t="s">
        <v>19</v>
      </c>
      <c r="T11" s="99" t="s">
        <v>213</v>
      </c>
      <c r="U11" s="2" t="s">
        <v>213</v>
      </c>
      <c r="V11" s="220" t="s">
        <v>242</v>
      </c>
      <c r="W11" s="220"/>
      <c r="X11" s="220"/>
      <c r="Y11" s="220"/>
      <c r="Z11" s="220" t="s">
        <v>205</v>
      </c>
      <c r="AA11" s="226" t="s">
        <v>205</v>
      </c>
      <c r="AB11" s="75" t="s">
        <v>205</v>
      </c>
      <c r="AC11" s="37" t="s">
        <v>240</v>
      </c>
    </row>
    <row r="12" spans="1:29" ht="15.75" thickBot="1">
      <c r="A12" s="67"/>
      <c r="B12" s="115" t="s">
        <v>209</v>
      </c>
      <c r="C12" s="214" t="s">
        <v>19</v>
      </c>
      <c r="D12" s="307" t="s">
        <v>208</v>
      </c>
      <c r="E12" s="68" t="s">
        <v>183</v>
      </c>
      <c r="G12" s="67"/>
      <c r="P12" s="247"/>
      <c r="Q12" s="308"/>
      <c r="R12" s="214" t="s">
        <v>16</v>
      </c>
      <c r="S12" s="315" t="s">
        <v>130</v>
      </c>
      <c r="T12" s="232" t="s">
        <v>170</v>
      </c>
      <c r="U12" s="3" t="s">
        <v>183</v>
      </c>
      <c r="V12" s="232" t="s">
        <v>235</v>
      </c>
      <c r="W12" s="232" t="s">
        <v>236</v>
      </c>
      <c r="X12" s="232" t="s">
        <v>7</v>
      </c>
      <c r="Y12" s="232" t="s">
        <v>237</v>
      </c>
      <c r="Z12" s="232" t="s">
        <v>238</v>
      </c>
      <c r="AA12" s="11" t="s">
        <v>207</v>
      </c>
      <c r="AB12" s="308" t="s">
        <v>219</v>
      </c>
      <c r="AC12" s="3" t="s">
        <v>183</v>
      </c>
    </row>
    <row r="13" spans="1:29">
      <c r="B13" s="305" t="s">
        <v>7</v>
      </c>
      <c r="C13" s="74">
        <f>'Gasifier Material'!I3</f>
        <v>1496222926.0999999</v>
      </c>
      <c r="D13" s="69">
        <v>14100</v>
      </c>
      <c r="E13" s="18">
        <f>D13*C13</f>
        <v>21096743258010</v>
      </c>
      <c r="G13" s="67"/>
      <c r="P13" s="247"/>
      <c r="Q13" s="7" t="s">
        <v>36</v>
      </c>
      <c r="R13" s="192">
        <f>Summary!G4</f>
        <v>10882291.625566602</v>
      </c>
      <c r="S13" s="21">
        <f>Summary!I4</f>
        <v>478929654.44118613</v>
      </c>
      <c r="T13" s="55">
        <v>-169300</v>
      </c>
      <c r="U13" s="192">
        <f>T13*R13</f>
        <v>-1842371972208.4258</v>
      </c>
      <c r="V13" s="231">
        <v>5.4569999999999999</v>
      </c>
      <c r="W13" s="220">
        <v>1.0449999999999999</v>
      </c>
      <c r="X13" s="220"/>
      <c r="Y13" s="220">
        <v>-1.157</v>
      </c>
      <c r="Z13" s="108">
        <f>8.314*(V13+W13*0.001*$T$9+X13*0.000001*$T$9^2+Y13*100000*$T$9^-2)</f>
        <v>48.884004480215218</v>
      </c>
      <c r="AA13" s="6">
        <f>Z13/(N19+N21*2)</f>
        <v>1.110747659173261</v>
      </c>
      <c r="AB13" s="7">
        <f>AA13/4.187</f>
        <v>0.26528484814264652</v>
      </c>
      <c r="AC13" s="192">
        <f>AB13*S13*($R$10-$G$7)</f>
        <v>174951678954.27921</v>
      </c>
    </row>
    <row r="14" spans="1:29">
      <c r="B14" s="19" t="s">
        <v>8</v>
      </c>
      <c r="C14" s="192">
        <f>'Gasifier Material'!I4</f>
        <v>197032840.75</v>
      </c>
      <c r="D14" s="47">
        <v>61000</v>
      </c>
      <c r="E14" s="21">
        <f>D14*C14</f>
        <v>12019003285750</v>
      </c>
      <c r="G14" s="67"/>
      <c r="P14" s="247"/>
      <c r="Q14" s="7" t="s">
        <v>37</v>
      </c>
      <c r="R14" s="192">
        <f>Summary!G5</f>
        <v>39604405.588127628</v>
      </c>
      <c r="S14" s="21">
        <f>Summary!I5</f>
        <v>1109319400.5234547</v>
      </c>
      <c r="T14" s="55">
        <v>-47540</v>
      </c>
      <c r="U14" s="192">
        <f t="shared" ref="U14:U26" si="0">T14*R14</f>
        <v>-1882793441659.5874</v>
      </c>
      <c r="V14" s="102">
        <v>3.3759999999999999</v>
      </c>
      <c r="W14" s="55">
        <v>0.55700000000000005</v>
      </c>
      <c r="X14" s="55"/>
      <c r="Y14" s="55">
        <v>-3.1E-2</v>
      </c>
      <c r="Z14" s="109">
        <f>8.314*(V14+W14*0.001*$T$9+X14*0.000001*$T$9^2+Y14*100000*$T$9^-2)</f>
        <v>31.061734673567909</v>
      </c>
      <c r="AA14" s="6">
        <f>Z14/(N19+N21)</f>
        <v>1.1089516127657233</v>
      </c>
      <c r="AB14" s="7">
        <f t="shared" ref="AB14:AB26" si="1">AA14/4.187</f>
        <v>0.2648558903190168</v>
      </c>
      <c r="AC14" s="192">
        <f>AB14*S14*($R$10-$G$7)</f>
        <v>404576063581.41925</v>
      </c>
    </row>
    <row r="15" spans="1:29">
      <c r="B15" s="19" t="s">
        <v>9</v>
      </c>
      <c r="C15" s="192">
        <f>'Gasifier Material'!I5</f>
        <v>1111970553.4000001</v>
      </c>
      <c r="D15" s="47"/>
      <c r="E15" s="21"/>
      <c r="G15" s="67"/>
      <c r="P15" s="247"/>
      <c r="Q15" s="7" t="s">
        <v>38</v>
      </c>
      <c r="R15" s="192">
        <f>Summary!G6</f>
        <v>19623804.570693873</v>
      </c>
      <c r="S15" s="21">
        <f>Summary!I6</f>
        <v>39557665.25360471</v>
      </c>
      <c r="T15" s="55">
        <v>0</v>
      </c>
      <c r="U15" s="192">
        <f t="shared" si="0"/>
        <v>0</v>
      </c>
      <c r="V15" s="102">
        <v>3.2490000000000001</v>
      </c>
      <c r="W15" s="55">
        <v>0.42199999999999999</v>
      </c>
      <c r="X15" s="55"/>
      <c r="Y15" s="55">
        <v>8.3000000000000004E-2</v>
      </c>
      <c r="Z15" s="109">
        <f>8.314*(V15+W15*0.001*$T$9+X15*0.000001*$T$9^2+Y15*100000*$T$9^-2)</f>
        <v>29.483980619532154</v>
      </c>
      <c r="AA15" s="6">
        <f>Z15/(N20*2)</f>
        <v>14.624990386672696</v>
      </c>
      <c r="AB15" s="7">
        <f t="shared" si="1"/>
        <v>3.4929520866187471</v>
      </c>
      <c r="AC15" s="192">
        <f>AB15*S15*($R$10-$G$7)</f>
        <v>190264261469.12735</v>
      </c>
    </row>
    <row r="16" spans="1:29">
      <c r="B16" s="19" t="s">
        <v>10</v>
      </c>
      <c r="C16" s="192">
        <f>'Gasifier Material'!I6</f>
        <v>22079944.800000001</v>
      </c>
      <c r="D16" s="47"/>
      <c r="E16" s="21"/>
      <c r="G16" s="67"/>
      <c r="J16" s="67"/>
      <c r="P16" s="247"/>
      <c r="Q16" s="7" t="s">
        <v>39</v>
      </c>
      <c r="R16" s="192">
        <f>Summary!G7</f>
        <v>13915061.422855653</v>
      </c>
      <c r="S16" s="21">
        <f>Summary!I7</f>
        <v>223219849.32088122</v>
      </c>
      <c r="T16" s="55">
        <v>-32210</v>
      </c>
      <c r="U16" s="192">
        <f t="shared" si="0"/>
        <v>-448204128430.1806</v>
      </c>
      <c r="V16" s="102">
        <v>1.702</v>
      </c>
      <c r="W16" s="55">
        <v>9.0809999999999995</v>
      </c>
      <c r="X16" s="55">
        <v>-2.1640000000000001</v>
      </c>
      <c r="Y16" s="55"/>
      <c r="Z16" s="109">
        <f>8.314*(V16+W16*0.001*$T$9+X16*0.000001*$T$9^2+Y16*100000*$T$9^-2)</f>
        <v>56.104710972685929</v>
      </c>
      <c r="AA16" s="6">
        <f>Z16/(N19+4*N20)</f>
        <v>3.4973638556717321</v>
      </c>
      <c r="AB16" s="7">
        <f t="shared" si="1"/>
        <v>0.8352911047699384</v>
      </c>
      <c r="AC16" s="192">
        <f>AB16*S16*($R$10-$G$7)</f>
        <v>256746544609.59146</v>
      </c>
    </row>
    <row r="17" spans="2:29">
      <c r="B17" s="19" t="s">
        <v>11</v>
      </c>
      <c r="C17" s="192">
        <f>'Gasifier Material'!I7</f>
        <v>613331.80000000005</v>
      </c>
      <c r="D17" s="47">
        <f>9.163*61000/141.8</f>
        <v>3941.7700987306062</v>
      </c>
      <c r="E17" s="21">
        <f>D17*C17</f>
        <v>2417612949.8406205</v>
      </c>
      <c r="G17" s="67"/>
      <c r="P17" s="247"/>
      <c r="Q17" s="7" t="s">
        <v>40</v>
      </c>
      <c r="R17" s="192">
        <f>Summary!G8</f>
        <v>4549154.6959335785</v>
      </c>
      <c r="S17" s="21">
        <f>Summary!I8</f>
        <v>127611067.86845037</v>
      </c>
      <c r="T17" s="55">
        <v>22490</v>
      </c>
      <c r="U17" s="192">
        <f t="shared" si="0"/>
        <v>102310489111.54619</v>
      </c>
      <c r="V17" s="102">
        <v>1.4239999999999999</v>
      </c>
      <c r="W17" s="55">
        <v>14.394</v>
      </c>
      <c r="X17" s="55">
        <v>-4.3920000000000003</v>
      </c>
      <c r="Y17" s="55"/>
      <c r="Z17" s="109">
        <f>8.314*(V17+W17*0.001*$T$9+X17*0.000001*$T$9^2+Y17*100000*$T$9^-2)</f>
        <v>74.863666572769091</v>
      </c>
      <c r="AA17" s="6">
        <f>Z17/(N19*2+N20*4)</f>
        <v>2.6687461347771673</v>
      </c>
      <c r="AB17" s="7">
        <f t="shared" si="1"/>
        <v>0.63738861590092355</v>
      </c>
      <c r="AC17" s="192">
        <f>AB17*S17*($R$10-$G$7)</f>
        <v>112002208327.02142</v>
      </c>
    </row>
    <row r="18" spans="2:29" ht="15.75" thickBot="1">
      <c r="B18" s="19" t="s">
        <v>12</v>
      </c>
      <c r="C18" s="192">
        <f>'Gasifier Material'!I8</f>
        <v>238586070.19999999</v>
      </c>
      <c r="D18" s="47"/>
      <c r="E18" s="21"/>
      <c r="M18" s="40"/>
      <c r="N18" s="59" t="s">
        <v>47</v>
      </c>
      <c r="P18" s="247"/>
      <c r="Q18" s="7" t="s">
        <v>41</v>
      </c>
      <c r="R18" s="192">
        <f>Summary!G9</f>
        <v>624393.78179480496</v>
      </c>
      <c r="S18" s="21">
        <f>Summary!I9</f>
        <v>18773897.59473712</v>
      </c>
      <c r="T18" s="55">
        <v>-36420</v>
      </c>
      <c r="U18" s="192">
        <f t="shared" si="0"/>
        <v>-22740421532.966797</v>
      </c>
      <c r="V18" s="102">
        <v>1.131</v>
      </c>
      <c r="W18" s="55">
        <v>19.225000000000001</v>
      </c>
      <c r="X18" s="55">
        <v>-5.5609999999999999</v>
      </c>
      <c r="Y18" s="55"/>
      <c r="Z18" s="109">
        <f>8.314*(V18+W18*0.001*$T$9+X18*0.000001*$T$9^2+Y18*100000*$T$9^-2)</f>
        <v>94.68269246256213</v>
      </c>
      <c r="AA18" s="6">
        <f>Z18/(N19*2+N20*6)</f>
        <v>3.148952123937812</v>
      </c>
      <c r="AB18" s="7">
        <f t="shared" si="1"/>
        <v>0.75207836731258937</v>
      </c>
      <c r="AC18" s="192">
        <f>AB18*S18*($R$10-$G$7)</f>
        <v>19442471979.824795</v>
      </c>
    </row>
    <row r="19" spans="2:29" ht="15.75" thickBot="1">
      <c r="B19" s="306" t="s">
        <v>16</v>
      </c>
      <c r="C19" s="215">
        <f>SUM(C13:C18)</f>
        <v>3066505667.0500002</v>
      </c>
      <c r="D19" s="248"/>
      <c r="E19" s="240">
        <f>SUM(E13:E18)</f>
        <v>33118164156709.84</v>
      </c>
      <c r="G19" s="303"/>
      <c r="M19" s="54" t="s">
        <v>7</v>
      </c>
      <c r="N19" s="56">
        <v>12.01</v>
      </c>
      <c r="P19" s="247"/>
      <c r="Q19" s="7" t="s">
        <v>63</v>
      </c>
      <c r="R19" s="192">
        <f>Summary!G10</f>
        <v>15785.160275049118</v>
      </c>
      <c r="S19" s="21">
        <f>Summary!I10</f>
        <v>537970.89030189393</v>
      </c>
      <c r="T19" s="55">
        <f>-20.63*1000*0.4299/0.2388</f>
        <v>-37139.18341708542</v>
      </c>
      <c r="U19" s="192">
        <f t="shared" si="0"/>
        <v>-586247962.72313976</v>
      </c>
      <c r="V19" s="102">
        <v>3.931</v>
      </c>
      <c r="W19" s="55">
        <v>1.49</v>
      </c>
      <c r="X19" s="55"/>
      <c r="Y19" s="55">
        <v>-0.23200000000000001</v>
      </c>
      <c r="Z19" s="109">
        <f>8.314*(V19+W19*0.001*$T$9+X19*0.000001*$T$9^2+Y19*100000*$T$9^-2)</f>
        <v>40.405372648979196</v>
      </c>
      <c r="AA19" s="6">
        <f>Z19/(N20*2+N23)</f>
        <v>1.1854993002077046</v>
      </c>
      <c r="AB19" s="7">
        <f t="shared" si="1"/>
        <v>0.28313811803384392</v>
      </c>
      <c r="AC19" s="192">
        <f>AB19*S19*($R$10-$G$7)</f>
        <v>209744730.10684505</v>
      </c>
    </row>
    <row r="20" spans="2:29">
      <c r="B20" s="302" t="s">
        <v>210</v>
      </c>
      <c r="C20" s="225"/>
      <c r="D20" s="225"/>
      <c r="J20" s="67"/>
      <c r="M20" s="54" t="s">
        <v>8</v>
      </c>
      <c r="N20" s="56">
        <v>1.008</v>
      </c>
      <c r="P20" s="247"/>
      <c r="Q20" s="7" t="s">
        <v>67</v>
      </c>
      <c r="R20" s="192">
        <f>Summary!G11</f>
        <v>1753.9066972276796</v>
      </c>
      <c r="S20" s="21">
        <f>Summary!I11</f>
        <v>50894.689149483078</v>
      </c>
      <c r="T20" s="55"/>
      <c r="U20" s="192">
        <f t="shared" si="0"/>
        <v>0</v>
      </c>
      <c r="V20" s="102"/>
      <c r="W20" s="55"/>
      <c r="X20" s="55"/>
      <c r="Y20" s="55"/>
      <c r="Z20" s="109">
        <f>8.314*(V20+W20*0.001*$T$9+X20*0.000001*$T$9^2+Y20*100000*$T$9^-2)</f>
        <v>0</v>
      </c>
      <c r="AA20" s="6">
        <f>Z20/(N19+N21+N23)</f>
        <v>0</v>
      </c>
      <c r="AB20" s="7">
        <f t="shared" si="1"/>
        <v>0</v>
      </c>
      <c r="AC20" s="192">
        <f>AB20*S20*($R$10-$G$7)</f>
        <v>0</v>
      </c>
    </row>
    <row r="21" spans="2:29" ht="15.75" thickBot="1">
      <c r="B21" s="302" t="s">
        <v>212</v>
      </c>
      <c r="C21" s="225"/>
      <c r="D21" s="225"/>
      <c r="E21" s="225"/>
      <c r="F21" s="225"/>
      <c r="M21" s="54" t="s">
        <v>9</v>
      </c>
      <c r="N21" s="56">
        <v>16</v>
      </c>
      <c r="P21" s="247"/>
      <c r="Q21" s="7" t="s">
        <v>64</v>
      </c>
      <c r="R21" s="192">
        <f>Summary!G12</f>
        <v>368077.89753694582</v>
      </c>
      <c r="S21" s="21">
        <f>Summary!I12</f>
        <v>6268624.2495824629</v>
      </c>
      <c r="T21" s="55">
        <v>-19750</v>
      </c>
      <c r="U21" s="192">
        <f t="shared" si="0"/>
        <v>-7269538476.3546801</v>
      </c>
      <c r="V21" s="102">
        <v>3.5779999999999998</v>
      </c>
      <c r="W21" s="55">
        <v>3.02</v>
      </c>
      <c r="X21" s="55"/>
      <c r="Y21" s="55">
        <v>-0.186</v>
      </c>
      <c r="Z21" s="109">
        <f>8.314*(V21+W21*0.001*$T$9+X21*0.000001*$T$9^2+Y21*100000*$T$9^-2)</f>
        <v>45.944602846763011</v>
      </c>
      <c r="AA21" s="6">
        <f>Z21/(N22+N20*3)</f>
        <v>2.6977043536353129</v>
      </c>
      <c r="AB21" s="7">
        <f t="shared" si="1"/>
        <v>0.64430483726661403</v>
      </c>
      <c r="AC21" s="192">
        <f>AB21*S21*($R$10-$G$7)</f>
        <v>5561572084.4965973</v>
      </c>
    </row>
    <row r="22" spans="2:29">
      <c r="B22" s="12" t="s">
        <v>204</v>
      </c>
      <c r="C22" s="75"/>
      <c r="D22" s="4" t="s">
        <v>42</v>
      </c>
      <c r="E22" s="13" t="s">
        <v>42</v>
      </c>
      <c r="F22" s="12" t="s">
        <v>213</v>
      </c>
      <c r="G22" s="5"/>
      <c r="H22" s="46" t="s">
        <v>205</v>
      </c>
      <c r="I22" s="2" t="s">
        <v>214</v>
      </c>
      <c r="M22" s="54" t="s">
        <v>10</v>
      </c>
      <c r="N22" s="56">
        <v>14.007</v>
      </c>
      <c r="P22" s="247"/>
      <c r="Q22" s="7" t="s">
        <v>68</v>
      </c>
      <c r="R22" s="192">
        <f>Summary!G13</f>
        <v>147231.15901477833</v>
      </c>
      <c r="S22" s="21">
        <f>Summary!I13</f>
        <v>3978907.3492584825</v>
      </c>
      <c r="T22" s="55">
        <f>130.5*1000*0.4299/0.2388</f>
        <v>234932.78894472358</v>
      </c>
      <c r="U22" s="192">
        <f t="shared" si="0"/>
        <v>34589426806.905952</v>
      </c>
      <c r="V22" s="102">
        <v>4.7359999999999998</v>
      </c>
      <c r="W22" s="55">
        <v>1.359</v>
      </c>
      <c r="X22" s="55"/>
      <c r="Y22" s="55">
        <v>-0.72499999999999998</v>
      </c>
      <c r="Z22" s="109">
        <f>8.314*(V22+W22*0.001*$T$9+X22*0.000001*$T$9^2+Y22*100000*$T$9^-2)</f>
        <v>45.437053097807208</v>
      </c>
      <c r="AA22" s="6">
        <f>Z22/(N20+N19+N22)</f>
        <v>1.6812970618985092</v>
      </c>
      <c r="AB22" s="7">
        <f t="shared" si="1"/>
        <v>0.4015517224500858</v>
      </c>
      <c r="AC22" s="192">
        <f>AB22*S22*($R$10-$G$7)</f>
        <v>2200083986.0996952</v>
      </c>
    </row>
    <row r="23" spans="2:29" ht="15.75" thickBot="1">
      <c r="B23" s="6"/>
      <c r="C23" s="95" t="s">
        <v>19</v>
      </c>
      <c r="D23" s="95" t="s">
        <v>208</v>
      </c>
      <c r="E23" s="68" t="s">
        <v>183</v>
      </c>
      <c r="F23" s="115" t="s">
        <v>183</v>
      </c>
      <c r="G23" s="68" t="s">
        <v>208</v>
      </c>
      <c r="H23" s="246" t="s">
        <v>219</v>
      </c>
      <c r="I23" s="241" t="s">
        <v>183</v>
      </c>
      <c r="M23" s="42" t="s">
        <v>11</v>
      </c>
      <c r="N23" s="43">
        <v>32.067</v>
      </c>
      <c r="P23" s="247"/>
      <c r="Q23" s="7" t="s">
        <v>69</v>
      </c>
      <c r="R23" s="192">
        <f>Summary!G14</f>
        <v>478501.2667980296</v>
      </c>
      <c r="S23" s="21">
        <f>Summary!I14</f>
        <v>13404734.488080001</v>
      </c>
      <c r="T23" s="55">
        <v>0</v>
      </c>
      <c r="U23" s="192">
        <f t="shared" si="0"/>
        <v>0</v>
      </c>
      <c r="V23" s="102">
        <v>3.28</v>
      </c>
      <c r="W23" s="55">
        <v>0.59299999999999997</v>
      </c>
      <c r="X23" s="55"/>
      <c r="Y23" s="55">
        <v>0.04</v>
      </c>
      <c r="Z23" s="109">
        <f>8.314*(V23+W23*0.001*$T$9+X23*0.000001*$T$9^2+Y23*100000*$T$9^-2)</f>
        <v>30.596726948334236</v>
      </c>
      <c r="AA23" s="6">
        <f>Z23/(N22*2)</f>
        <v>1.0921941510792545</v>
      </c>
      <c r="AB23" s="7">
        <f t="shared" si="1"/>
        <v>0.26085363054197624</v>
      </c>
      <c r="AC23" s="192">
        <f>AB23*S23*($R$10-$G$7)</f>
        <v>4814919626.6073322</v>
      </c>
    </row>
    <row r="24" spans="2:29" ht="15.75" thickBot="1">
      <c r="B24" s="91" t="s">
        <v>154</v>
      </c>
      <c r="C24" s="77">
        <f>'Gasifier Material'!D5</f>
        <v>3066659000</v>
      </c>
      <c r="D24" s="239">
        <v>7689</v>
      </c>
      <c r="E24" s="240">
        <f>D24*C24</f>
        <v>23579541051000</v>
      </c>
      <c r="F24" s="29">
        <f>E24-E19</f>
        <v>-9538623105709.8398</v>
      </c>
      <c r="G24" s="30">
        <f>F24/C24</f>
        <v>-3110.4283540197457</v>
      </c>
      <c r="H24" s="49">
        <f>E25*0.4299*5/9</f>
        <v>0.35825000000000001</v>
      </c>
      <c r="I24" s="215">
        <f>H24*C24*(D8-G7)</f>
        <v>157104173905.25</v>
      </c>
      <c r="M24" s="54" t="s">
        <v>24</v>
      </c>
      <c r="N24" s="56">
        <v>35.453000000000003</v>
      </c>
      <c r="P24" s="247"/>
      <c r="Q24" s="7" t="s">
        <v>65</v>
      </c>
      <c r="R24" s="192">
        <f>Summary!G15</f>
        <v>33648.220207034661</v>
      </c>
      <c r="S24" s="21">
        <f>Summary!I15</f>
        <v>1226844.3921466703</v>
      </c>
      <c r="T24" s="55">
        <f>-92.3*1000*0.4299/0.2388</f>
        <v>-166163.19095477386</v>
      </c>
      <c r="U24" s="192">
        <f t="shared" si="0"/>
        <v>-5591095639.5497808</v>
      </c>
      <c r="V24" s="102">
        <v>3.1560000000000001</v>
      </c>
      <c r="W24" s="55">
        <v>0.623</v>
      </c>
      <c r="X24" s="55"/>
      <c r="Y24" s="55">
        <v>0.151</v>
      </c>
      <c r="Z24" s="109">
        <f>8.314*(V24+W24*0.001*$T$9+X24*0.000001*$T$9^2+Y24*100000*$T$9^-2)</f>
        <v>29.942557141645917</v>
      </c>
      <c r="AA24" s="6">
        <f>Z24/(N20+N24)</f>
        <v>0.82122150082679879</v>
      </c>
      <c r="AB24" s="7">
        <f t="shared" si="1"/>
        <v>0.19613601643821321</v>
      </c>
      <c r="AC24" s="192">
        <f>AB24*S24*($R$10-$G$7)</f>
        <v>331345268.05839282</v>
      </c>
    </row>
    <row r="25" spans="2:29" ht="15.75" thickBot="1">
      <c r="B25" s="225" t="s">
        <v>221</v>
      </c>
      <c r="C25" s="225" t="s">
        <v>220</v>
      </c>
      <c r="D25" s="225"/>
      <c r="E25" s="225">
        <v>1.5</v>
      </c>
      <c r="M25" s="54" t="s">
        <v>75</v>
      </c>
      <c r="N25" s="79">
        <f>N20*2+N21</f>
        <v>18.015999999999998</v>
      </c>
      <c r="P25" s="247"/>
      <c r="Q25" s="7" t="s">
        <v>75</v>
      </c>
      <c r="R25" s="192">
        <f>Summary!G16</f>
        <v>63114590.578689441</v>
      </c>
      <c r="S25" s="21">
        <f>Summary!I16</f>
        <v>1137059840.9475532</v>
      </c>
      <c r="T25" s="55">
        <v>-104040</v>
      </c>
      <c r="U25" s="192">
        <f t="shared" si="0"/>
        <v>-6566442003806.8496</v>
      </c>
      <c r="V25" s="102">
        <v>3.47</v>
      </c>
      <c r="W25" s="55">
        <v>1.45</v>
      </c>
      <c r="X25" s="55"/>
      <c r="Y25" s="55">
        <v>0.121</v>
      </c>
      <c r="Z25" s="109">
        <f>8.314*(V25+W25*0.001*$T$9+X25*0.000001*$T$9^2+Y25*100000*$T$9^-2)</f>
        <v>37.028632884709118</v>
      </c>
      <c r="AA25" s="6">
        <f>Z25/(N20*2+N21)</f>
        <v>2.0553193208652933</v>
      </c>
      <c r="AB25" s="7">
        <f t="shared" si="1"/>
        <v>0.4908811370588233</v>
      </c>
      <c r="AC25" s="192">
        <f>AB25*S25*($R$10-$G$7)</f>
        <v>768588010444.11353</v>
      </c>
    </row>
    <row r="26" spans="2:29" ht="15.75" thickBot="1">
      <c r="B26" s="117" t="s">
        <v>222</v>
      </c>
      <c r="C26" s="119"/>
      <c r="P26" s="247"/>
      <c r="Q26" s="308" t="s">
        <v>50</v>
      </c>
      <c r="R26" s="73">
        <f>Summary!G17</f>
        <v>1074191.238152808</v>
      </c>
      <c r="S26" s="30">
        <f>Summary!I17</f>
        <v>137671786.49362597</v>
      </c>
      <c r="T26" s="304">
        <f>G24</f>
        <v>-3110.4283540197457</v>
      </c>
      <c r="U26" s="73">
        <f>T26*S26</f>
        <v>-428218228258.3269</v>
      </c>
      <c r="V26" s="222"/>
      <c r="W26" s="232"/>
      <c r="X26" s="232"/>
      <c r="Y26" s="232"/>
      <c r="Z26" s="233">
        <f>8.314*(V26+W26*0.001*$T$9+X26*0.000001*$T$9^2+Y26*100000*$T$9^-2)</f>
        <v>0</v>
      </c>
      <c r="AA26" s="11"/>
      <c r="AB26" s="308">
        <f t="shared" si="1"/>
        <v>0</v>
      </c>
      <c r="AC26" s="73">
        <f>AB26*S26*($R$10-$G$7)</f>
        <v>0</v>
      </c>
    </row>
    <row r="27" spans="2:29" ht="15.75" thickBot="1">
      <c r="B27" s="310" t="s">
        <v>183</v>
      </c>
      <c r="C27" s="273">
        <f>F24+I24</f>
        <v>-9381518931804.5898</v>
      </c>
      <c r="P27" s="247"/>
      <c r="Q27" s="7" t="s">
        <v>16</v>
      </c>
      <c r="U27" s="73">
        <f>SUM(U13:U26)</f>
        <v>-11067317162056.512</v>
      </c>
      <c r="AC27" s="73">
        <f>SUM(AC13:AC26)</f>
        <v>1939688905060.7458</v>
      </c>
    </row>
    <row r="28" spans="2:29" ht="15.75" thickBot="1">
      <c r="B28" s="225" t="s">
        <v>223</v>
      </c>
      <c r="C28" s="225"/>
      <c r="D28" s="225"/>
      <c r="P28" s="247"/>
      <c r="Q28" s="239" t="s">
        <v>243</v>
      </c>
      <c r="R28" s="239"/>
      <c r="S28" s="240">
        <f>U27+AC27</f>
        <v>-9127628256995.7656</v>
      </c>
    </row>
    <row r="29" spans="2:29" ht="15.75" thickBot="1">
      <c r="P29" s="247"/>
    </row>
    <row r="30" spans="2:29" ht="15.75" thickBot="1">
      <c r="P30" s="247"/>
      <c r="Q30" s="239" t="s">
        <v>251</v>
      </c>
      <c r="R30" s="239"/>
      <c r="S30" s="311">
        <f>(S31-32)*5/9+273.15</f>
        <v>1238.7055555555555</v>
      </c>
      <c r="T30" s="76" t="s">
        <v>252</v>
      </c>
      <c r="U30" s="311">
        <f>(U31-32)*5/9+273.15</f>
        <v>789.81666666666661</v>
      </c>
    </row>
    <row r="31" spans="2:29" ht="15.75" thickBot="1">
      <c r="B31" s="12" t="s">
        <v>229</v>
      </c>
      <c r="C31" s="4"/>
      <c r="D31" s="13"/>
      <c r="E31" s="99" t="s">
        <v>213</v>
      </c>
      <c r="F31" s="12" t="s">
        <v>213</v>
      </c>
      <c r="G31" s="5"/>
      <c r="H31" s="220" t="s">
        <v>242</v>
      </c>
      <c r="I31" s="220"/>
      <c r="J31" s="220"/>
      <c r="K31" s="220"/>
      <c r="L31" s="220" t="s">
        <v>205</v>
      </c>
      <c r="M31" s="226" t="s">
        <v>205</v>
      </c>
      <c r="N31" s="75" t="s">
        <v>205</v>
      </c>
      <c r="O31" s="226" t="s">
        <v>240</v>
      </c>
      <c r="P31" s="247"/>
      <c r="Q31" s="239" t="s">
        <v>244</v>
      </c>
      <c r="R31" s="239"/>
      <c r="S31" s="311">
        <f>Combuster!N3</f>
        <v>1770</v>
      </c>
      <c r="T31" s="76" t="s">
        <v>249</v>
      </c>
      <c r="U31" s="311">
        <f>(S31-G25)/2+G7</f>
        <v>962</v>
      </c>
    </row>
    <row r="32" spans="2:29" ht="15.75" thickBot="1">
      <c r="B32" s="6"/>
      <c r="C32" s="95" t="s">
        <v>21</v>
      </c>
      <c r="D32" s="68" t="s">
        <v>19</v>
      </c>
      <c r="E32" s="55" t="s">
        <v>170</v>
      </c>
      <c r="F32" s="115" t="s">
        <v>183</v>
      </c>
      <c r="G32" s="68" t="s">
        <v>208</v>
      </c>
      <c r="H32" s="232" t="s">
        <v>235</v>
      </c>
      <c r="I32" s="232" t="s">
        <v>236</v>
      </c>
      <c r="J32" s="232" t="s">
        <v>7</v>
      </c>
      <c r="K32" s="232" t="s">
        <v>237</v>
      </c>
      <c r="L32" s="232" t="s">
        <v>238</v>
      </c>
      <c r="M32" s="11" t="s">
        <v>207</v>
      </c>
      <c r="N32" s="308" t="s">
        <v>219</v>
      </c>
      <c r="O32" s="11" t="s">
        <v>183</v>
      </c>
      <c r="P32" s="247"/>
      <c r="Q32" s="4" t="s">
        <v>149</v>
      </c>
      <c r="R32" s="2" t="s">
        <v>21</v>
      </c>
      <c r="S32" s="13" t="s">
        <v>19</v>
      </c>
      <c r="T32" s="99" t="s">
        <v>213</v>
      </c>
      <c r="U32" s="2" t="s">
        <v>213</v>
      </c>
      <c r="V32" s="220" t="s">
        <v>242</v>
      </c>
      <c r="W32" s="220"/>
      <c r="X32" s="220"/>
      <c r="Y32" s="220"/>
      <c r="Z32" s="220" t="s">
        <v>205</v>
      </c>
      <c r="AA32" s="226" t="s">
        <v>205</v>
      </c>
      <c r="AB32" s="75" t="s">
        <v>205</v>
      </c>
      <c r="AC32" s="37" t="s">
        <v>240</v>
      </c>
    </row>
    <row r="33" spans="2:29" ht="15.75" thickBot="1">
      <c r="B33" s="11" t="s">
        <v>75</v>
      </c>
      <c r="C33" s="80">
        <f>'Gasifier Material'!N21</f>
        <v>18913182.109729625</v>
      </c>
      <c r="D33" s="30">
        <f>'Gasifier Material'!I12</f>
        <v>340739888.8888889</v>
      </c>
      <c r="E33" s="232">
        <f>C35*0.0009478*1000*453.6</f>
        <v>-103968.05660640002</v>
      </c>
      <c r="F33" s="29">
        <f>E33*C33</f>
        <v>-1966366788191.5217</v>
      </c>
      <c r="G33" s="30">
        <f>F33/D33</f>
        <v>-5770.8734794849033</v>
      </c>
      <c r="H33" s="232">
        <v>3.47</v>
      </c>
      <c r="I33" s="232">
        <v>1.45</v>
      </c>
      <c r="J33" s="232"/>
      <c r="K33" s="232">
        <v>0.121</v>
      </c>
      <c r="L33" s="232">
        <f>8.314*(H33+I33*0.001*$G$34+J33*0.000001*$G$34^2+K33*100000*$G$34^-2)</f>
        <v>33.803963314733835</v>
      </c>
      <c r="M33" s="11">
        <f>L33/(N20*2+N21)</f>
        <v>1.8763301129403773</v>
      </c>
      <c r="N33" s="308">
        <f t="shared" ref="N33" si="2">M33/4.187</f>
        <v>0.44813234128024293</v>
      </c>
      <c r="O33" s="29">
        <f>N33*D33*(C34-G7)</f>
        <v>21835608677.074711</v>
      </c>
      <c r="P33" s="247"/>
      <c r="Q33" s="20"/>
      <c r="R33" s="241" t="s">
        <v>16</v>
      </c>
      <c r="S33" s="68" t="s">
        <v>16</v>
      </c>
      <c r="T33" s="221" t="s">
        <v>170</v>
      </c>
      <c r="U33" s="244" t="s">
        <v>183</v>
      </c>
      <c r="V33" s="55" t="s">
        <v>235</v>
      </c>
      <c r="W33" s="55" t="s">
        <v>236</v>
      </c>
      <c r="X33" s="55" t="s">
        <v>7</v>
      </c>
      <c r="Y33" s="55" t="s">
        <v>237</v>
      </c>
      <c r="Z33" s="55" t="s">
        <v>238</v>
      </c>
      <c r="AA33" s="11" t="s">
        <v>207</v>
      </c>
      <c r="AB33" s="308" t="s">
        <v>219</v>
      </c>
      <c r="AC33" s="3" t="s">
        <v>183</v>
      </c>
    </row>
    <row r="34" spans="2:29" ht="15.75" thickBot="1">
      <c r="B34" s="11" t="s">
        <v>185</v>
      </c>
      <c r="C34" s="313">
        <f>D8</f>
        <v>220</v>
      </c>
      <c r="D34" s="76" t="s">
        <v>249</v>
      </c>
      <c r="E34" s="311">
        <f>(C34-G7)/2+G7</f>
        <v>148.5</v>
      </c>
      <c r="F34" s="76" t="s">
        <v>252</v>
      </c>
      <c r="G34" s="311">
        <f>(E34-32)*5/9+273.15</f>
        <v>337.87222222222221</v>
      </c>
      <c r="P34" s="247"/>
      <c r="Q34" s="7" t="s">
        <v>69</v>
      </c>
      <c r="R34" s="192">
        <f>Summary!P4</f>
        <v>232108487.28797963</v>
      </c>
      <c r="S34" s="21">
        <f>Summary!Q4</f>
        <v>6502287162.8854609</v>
      </c>
      <c r="T34" s="55">
        <v>0</v>
      </c>
      <c r="U34" s="192">
        <f>T34*R34</f>
        <v>0</v>
      </c>
      <c r="V34" s="231">
        <v>3.28</v>
      </c>
      <c r="W34" s="220">
        <v>0.59299999999999997</v>
      </c>
      <c r="X34" s="220"/>
      <c r="Y34" s="220">
        <v>0.04</v>
      </c>
      <c r="Z34" s="108">
        <f>8.314*(V34+W34*0.001*$U$30+X34*0.000001*$U$30^2+Y34*100000*$U$30^-2)</f>
        <v>31.217186782616768</v>
      </c>
      <c r="AA34" s="7">
        <f>Z34/(N22*2)</f>
        <v>1.1143423567722128</v>
      </c>
      <c r="AB34" s="7">
        <f>AA34/4.187</f>
        <v>0.26614338590212866</v>
      </c>
      <c r="AC34" s="192">
        <f>AB34*S34*($S$31-$G$7)</f>
        <v>2929805441733.6123</v>
      </c>
    </row>
    <row r="35" spans="2:29" ht="15.75" thickBot="1">
      <c r="B35" s="62" t="s">
        <v>228</v>
      </c>
      <c r="C35" s="225">
        <v>-241.83</v>
      </c>
      <c r="D35" s="225" t="s">
        <v>227</v>
      </c>
      <c r="P35" s="247"/>
      <c r="Q35" s="7" t="s">
        <v>184</v>
      </c>
      <c r="R35" s="192">
        <f>Summary!P5</f>
        <v>10412976.954851434</v>
      </c>
      <c r="S35" s="21">
        <f>Summary!Q5</f>
        <v>333215262.55524588</v>
      </c>
      <c r="T35" s="55">
        <v>0</v>
      </c>
      <c r="U35" s="192">
        <f t="shared" ref="U35:U39" si="3">T35*R35</f>
        <v>0</v>
      </c>
      <c r="V35" s="102">
        <v>3.6389999999999998</v>
      </c>
      <c r="W35" s="55">
        <v>0.50600000000000001</v>
      </c>
      <c r="X35" s="55"/>
      <c r="Y35" s="55">
        <v>-0.22700000000000001</v>
      </c>
      <c r="Z35" s="109">
        <f>8.314*(V35+W35*0.001*$U$30+X35*0.000001*$U$30^2+Y35*100000*$U$30^-2)</f>
        <v>33.274772758752327</v>
      </c>
      <c r="AA35" s="7">
        <f>Z35/(N21*2)</f>
        <v>1.0398366487110102</v>
      </c>
      <c r="AB35" s="7">
        <f t="shared" ref="AB35:AB39" si="4">AA35/4.187</f>
        <v>0.2483488532866038</v>
      </c>
      <c r="AC35" s="192">
        <f>AB35*S35*($S$31-$G$7)</f>
        <v>140101892801.95056</v>
      </c>
    </row>
    <row r="36" spans="2:29" ht="15.75" thickBot="1">
      <c r="B36" s="117" t="s">
        <v>222</v>
      </c>
      <c r="C36" s="119"/>
      <c r="P36" s="247"/>
      <c r="Q36" s="7" t="s">
        <v>75</v>
      </c>
      <c r="R36" s="192">
        <f>Summary!P6</f>
        <v>58240066.346424945</v>
      </c>
      <c r="S36" s="21">
        <f>Summary!Q6</f>
        <v>1049241387.2839224</v>
      </c>
      <c r="T36" s="55">
        <v>-104040</v>
      </c>
      <c r="U36" s="192">
        <f t="shared" si="3"/>
        <v>-6059296502682.0508</v>
      </c>
      <c r="V36" s="102">
        <v>3.47</v>
      </c>
      <c r="W36" s="55">
        <v>1.45</v>
      </c>
      <c r="X36" s="55"/>
      <c r="Y36" s="55">
        <v>0.121</v>
      </c>
      <c r="Z36" s="109">
        <f>8.314*(V36+W36*0.001*$U$30+X36*0.000001*$U$30^2+Y36*100000*$U$30^-2)</f>
        <v>38.532322857441571</v>
      </c>
      <c r="AA36" s="7">
        <f>Z36/(N20*2+N21)</f>
        <v>2.1387834623357889</v>
      </c>
      <c r="AB36" s="7">
        <f t="shared" si="4"/>
        <v>0.51081525252825144</v>
      </c>
      <c r="AC36" s="192">
        <f>AB36*S36*($S$31-$G$7)</f>
        <v>907394677625.04077</v>
      </c>
    </row>
    <row r="37" spans="2:29" ht="15.75" thickBot="1">
      <c r="B37" s="310" t="s">
        <v>183</v>
      </c>
      <c r="C37" s="273">
        <f>F33+O33</f>
        <v>-1944531179514.447</v>
      </c>
      <c r="P37" s="247"/>
      <c r="Q37" s="7" t="s">
        <v>36</v>
      </c>
      <c r="R37" s="192">
        <f>Summary!P7</f>
        <v>38941672.94743102</v>
      </c>
      <c r="S37" s="21">
        <f>Summary!Q7</f>
        <v>1713823026.4164391</v>
      </c>
      <c r="T37" s="55">
        <v>-169300</v>
      </c>
      <c r="U37" s="192">
        <f t="shared" si="3"/>
        <v>-6592825230000.0713</v>
      </c>
      <c r="V37" s="102">
        <v>5.4569999999999999</v>
      </c>
      <c r="W37" s="55">
        <v>1.0449999999999999</v>
      </c>
      <c r="X37" s="55"/>
      <c r="Y37" s="55">
        <v>-1.157</v>
      </c>
      <c r="Z37" s="109">
        <f>8.314*(V37+W37*0.001*$U$30+X37*0.000001*$U$30^2+Y37*100000*$U$30^-2)</f>
        <v>50.68950509012074</v>
      </c>
      <c r="AA37" s="7">
        <f>Z37/(N19+N21*2)</f>
        <v>1.1517724401299874</v>
      </c>
      <c r="AB37" s="7">
        <f t="shared" si="4"/>
        <v>0.27508298068545195</v>
      </c>
      <c r="AC37" s="192">
        <f>AB37*S37*($S$31-$G$7)</f>
        <v>798153924180.47534</v>
      </c>
    </row>
    <row r="38" spans="2:29">
      <c r="P38" s="247"/>
      <c r="Q38" s="7" t="s">
        <v>194</v>
      </c>
      <c r="R38" s="192">
        <f>Summary!P8</f>
        <v>7860.735684729063</v>
      </c>
      <c r="S38" s="21">
        <f>Summary!Q8</f>
        <v>235877.09569166499</v>
      </c>
      <c r="T38" s="55">
        <f>33.1*1000*0.4299/0.2388</f>
        <v>59588.316582914573</v>
      </c>
      <c r="U38" s="192">
        <f t="shared" si="3"/>
        <v>468408006.55624914</v>
      </c>
      <c r="V38" s="102">
        <v>4.9820000000000002</v>
      </c>
      <c r="W38" s="55">
        <v>1.1950000000000001</v>
      </c>
      <c r="X38" s="55"/>
      <c r="Y38" s="55">
        <v>-0.79200000000000004</v>
      </c>
      <c r="Z38" s="109">
        <f>8.314*(V38+W38*0.001*$U$30+X38*0.000001*$U$30^2+Y38*100000*$U$30^-2)</f>
        <v>48.211798996094615</v>
      </c>
      <c r="AA38" s="7">
        <f>Z38/(N22+N21*2)</f>
        <v>1.0479231203098358</v>
      </c>
      <c r="AB38" s="7">
        <f t="shared" si="4"/>
        <v>0.25028018158821014</v>
      </c>
      <c r="AC38" s="192">
        <f>AB38*S38*($S$31-$G$7)</f>
        <v>99946868.445360735</v>
      </c>
    </row>
    <row r="39" spans="2:29" ht="15.75" thickBot="1">
      <c r="P39" s="247"/>
      <c r="Q39" s="308" t="s">
        <v>169</v>
      </c>
      <c r="R39" s="73">
        <f>Summary!P9</f>
        <v>1587.5055165746719</v>
      </c>
      <c r="S39" s="30">
        <f>Summary!Q9</f>
        <v>101703.54091935635</v>
      </c>
      <c r="T39" s="55">
        <f>-296.84*1000*0.4299/0.2388</f>
        <v>-534386.58291457291</v>
      </c>
      <c r="U39" s="73">
        <f t="shared" si="3"/>
        <v>-848341648.36037278</v>
      </c>
      <c r="V39" s="222">
        <v>5.6989999999999998</v>
      </c>
      <c r="W39" s="232">
        <v>0.80100000000000005</v>
      </c>
      <c r="X39" s="232"/>
      <c r="Y39" s="232">
        <v>-1.0149999999999999</v>
      </c>
      <c r="Z39" s="233">
        <f>8.314*(V39+W39*0.001*$U$30+X39*0.000001*$U$30^2+Y39*100000*$U$30^-2)</f>
        <v>51.288512672145281</v>
      </c>
      <c r="AA39" s="308">
        <f>Z39/(N23+N21*2)</f>
        <v>0.80054494001818843</v>
      </c>
      <c r="AB39" s="308">
        <f t="shared" si="4"/>
        <v>0.19119774063009037</v>
      </c>
      <c r="AC39" s="73">
        <f>AB39*S39*($S$31-$G$7)</f>
        <v>32921209.893698465</v>
      </c>
    </row>
    <row r="40" spans="2:29" ht="15.75" thickBot="1">
      <c r="B40" s="12" t="s">
        <v>202</v>
      </c>
      <c r="C40" s="4"/>
      <c r="D40" s="13"/>
      <c r="E40" s="99" t="s">
        <v>213</v>
      </c>
      <c r="F40" s="12" t="s">
        <v>213</v>
      </c>
      <c r="G40" s="5"/>
      <c r="H40" s="220" t="s">
        <v>242</v>
      </c>
      <c r="I40" s="220"/>
      <c r="J40" s="220"/>
      <c r="K40" s="220"/>
      <c r="L40" s="220" t="s">
        <v>205</v>
      </c>
      <c r="M40" s="226" t="s">
        <v>205</v>
      </c>
      <c r="N40" s="75" t="s">
        <v>205</v>
      </c>
      <c r="O40" s="226" t="s">
        <v>240</v>
      </c>
      <c r="P40" s="247"/>
      <c r="Q40" s="7" t="s">
        <v>16</v>
      </c>
      <c r="U40" s="215">
        <f>SUM(U34:U39)</f>
        <v>-12652501666323.926</v>
      </c>
      <c r="AC40" s="215">
        <f>SUM(AC34:AC39)</f>
        <v>4775588804419.418</v>
      </c>
    </row>
    <row r="41" spans="2:29" ht="15.75" thickBot="1">
      <c r="B41" s="6"/>
      <c r="C41" s="95" t="s">
        <v>21</v>
      </c>
      <c r="D41" s="68" t="s">
        <v>19</v>
      </c>
      <c r="E41" s="55" t="s">
        <v>170</v>
      </c>
      <c r="F41" s="115" t="s">
        <v>183</v>
      </c>
      <c r="G41" s="68" t="s">
        <v>208</v>
      </c>
      <c r="H41" s="232" t="s">
        <v>235</v>
      </c>
      <c r="I41" s="232" t="s">
        <v>236</v>
      </c>
      <c r="J41" s="232" t="s">
        <v>7</v>
      </c>
      <c r="K41" s="232" t="s">
        <v>237</v>
      </c>
      <c r="L41" s="232" t="s">
        <v>238</v>
      </c>
      <c r="M41" s="11" t="s">
        <v>207</v>
      </c>
      <c r="N41" s="308" t="s">
        <v>219</v>
      </c>
      <c r="O41" s="11" t="s">
        <v>183</v>
      </c>
      <c r="P41" s="247"/>
      <c r="Q41" s="239" t="s">
        <v>245</v>
      </c>
      <c r="R41" s="239"/>
      <c r="S41" s="240">
        <f>U40+AC40</f>
        <v>-7876912861904.5078</v>
      </c>
    </row>
    <row r="42" spans="2:29" ht="15.75" thickBot="1">
      <c r="B42" s="11" t="s">
        <v>75</v>
      </c>
      <c r="C42" s="80">
        <f>'Gasifier Material'!M27</f>
        <v>68087455.595026657</v>
      </c>
      <c r="D42" s="30">
        <f>'Gasifier Material'!M26</f>
        <v>1226663600</v>
      </c>
      <c r="E42" s="232">
        <f>C47*0.0009478*1000*453.6</f>
        <v>-103968.05660640002</v>
      </c>
      <c r="F42" s="29">
        <f>E42*C42</f>
        <v>-7078920437489.4785</v>
      </c>
      <c r="G42" s="30">
        <f>F42/D42</f>
        <v>-5770.8734794849042</v>
      </c>
      <c r="H42" s="232">
        <v>3.47</v>
      </c>
      <c r="I42" s="232">
        <v>1.45</v>
      </c>
      <c r="J42" s="232"/>
      <c r="K42" s="232">
        <v>0.121</v>
      </c>
      <c r="L42" s="232">
        <f>8.314*(H42+I42*0.001*$G$43+J42*0.000001*$G$43^2+K42*100000*$G$43^-2)</f>
        <v>34.769447059204502</v>
      </c>
      <c r="M42" s="11">
        <f>L42/(N20*2+N21)</f>
        <v>1.9299204628776923</v>
      </c>
      <c r="N42" s="308">
        <f t="shared" ref="N42" si="5">M42/4.187</f>
        <v>0.46093156505318655</v>
      </c>
      <c r="O42" s="29">
        <f>N42*D42*(C43-G7)</f>
        <v>352249167142.7265</v>
      </c>
      <c r="P42" s="247"/>
    </row>
    <row r="43" spans="2:29" ht="15.75" thickBot="1">
      <c r="B43" s="89" t="s">
        <v>185</v>
      </c>
      <c r="C43" s="126">
        <f>L9</f>
        <v>700</v>
      </c>
      <c r="D43" s="76" t="s">
        <v>249</v>
      </c>
      <c r="E43" s="311">
        <f>(C43-G16)/2+G16</f>
        <v>350</v>
      </c>
      <c r="F43" s="76" t="s">
        <v>252</v>
      </c>
      <c r="G43" s="311">
        <f>(E43-32)*5/9+273.15</f>
        <v>449.81666666666661</v>
      </c>
      <c r="P43" s="247"/>
    </row>
    <row r="44" spans="2:29" ht="15.75" thickBot="1">
      <c r="B44" s="225" t="s">
        <v>224</v>
      </c>
      <c r="C44" s="225"/>
      <c r="D44" s="225"/>
      <c r="P44" s="247"/>
    </row>
    <row r="45" spans="2:29" ht="15.75" thickBot="1">
      <c r="B45" s="225" t="s">
        <v>225</v>
      </c>
      <c r="C45" s="225"/>
      <c r="D45" s="225"/>
      <c r="P45" s="247"/>
      <c r="Q45" s="12" t="s">
        <v>12</v>
      </c>
      <c r="R45" s="5"/>
    </row>
    <row r="46" spans="2:29">
      <c r="B46" s="62" t="s">
        <v>226</v>
      </c>
      <c r="C46" s="225"/>
      <c r="D46" s="225"/>
      <c r="P46" s="247"/>
      <c r="Q46" s="37" t="s">
        <v>19</v>
      </c>
      <c r="R46" s="18">
        <f>Summary!P37</f>
        <v>237178412.38581997</v>
      </c>
    </row>
    <row r="47" spans="2:29" ht="15.75" thickBot="1">
      <c r="B47" s="62" t="s">
        <v>228</v>
      </c>
      <c r="C47" s="225">
        <v>-241.83</v>
      </c>
      <c r="D47" s="225" t="s">
        <v>227</v>
      </c>
      <c r="P47" s="247"/>
      <c r="Q47" s="244" t="s">
        <v>262</v>
      </c>
      <c r="R47" s="8">
        <v>0.2</v>
      </c>
    </row>
    <row r="48" spans="2:29" ht="15.75" thickBot="1">
      <c r="B48" s="117" t="s">
        <v>233</v>
      </c>
      <c r="C48" s="119"/>
      <c r="P48" s="247"/>
      <c r="Q48" s="214" t="s">
        <v>183</v>
      </c>
      <c r="R48" s="30">
        <f>R47*R46*(S31-R10)</f>
        <v>14989675662.783825</v>
      </c>
    </row>
    <row r="49" spans="1:18" ht="15.75" thickBot="1">
      <c r="B49" s="310" t="s">
        <v>183</v>
      </c>
      <c r="C49" s="273">
        <f>F42+O42</f>
        <v>-6726671270346.752</v>
      </c>
      <c r="P49" s="247"/>
      <c r="Q49" s="225" t="s">
        <v>263</v>
      </c>
      <c r="R49" s="225"/>
    </row>
    <row r="50" spans="1:18">
      <c r="P50" s="247"/>
    </row>
    <row r="51" spans="1:18" ht="15.75" thickBot="1">
      <c r="P51" s="247"/>
    </row>
    <row r="52" spans="1:18">
      <c r="B52" s="12" t="s">
        <v>203</v>
      </c>
      <c r="C52" s="4"/>
      <c r="D52" s="5"/>
      <c r="E52" s="46" t="s">
        <v>205</v>
      </c>
      <c r="F52" s="2" t="s">
        <v>214</v>
      </c>
      <c r="P52" s="247"/>
    </row>
    <row r="53" spans="1:18" ht="15.75" thickBot="1">
      <c r="B53" s="6"/>
      <c r="C53" s="95" t="s">
        <v>21</v>
      </c>
      <c r="D53" s="68" t="s">
        <v>19</v>
      </c>
      <c r="E53" s="246" t="s">
        <v>219</v>
      </c>
      <c r="F53" s="241" t="s">
        <v>183</v>
      </c>
      <c r="P53" s="247"/>
    </row>
    <row r="54" spans="1:18" ht="15.75" thickBot="1">
      <c r="B54" s="6" t="s">
        <v>184</v>
      </c>
      <c r="C54" s="20">
        <f>Combuster!H28</f>
        <v>62477861.729108572</v>
      </c>
      <c r="D54" s="20">
        <f>C54*'Gasifier Material'!B25*2</f>
        <v>1999291575.3314743</v>
      </c>
      <c r="E54" s="69"/>
      <c r="F54" s="18"/>
      <c r="P54" s="297"/>
    </row>
    <row r="55" spans="1:18" ht="15.75" thickBot="1">
      <c r="B55" s="6" t="s">
        <v>69</v>
      </c>
      <c r="C55" s="20">
        <f>Combuster!H29</f>
        <v>232060629.27954614</v>
      </c>
      <c r="D55" s="20">
        <f>C55*'Gasifier Material'!B26*2</f>
        <v>6500946468.6372051</v>
      </c>
      <c r="E55" s="47"/>
      <c r="F55" s="8"/>
    </row>
    <row r="56" spans="1:18" ht="15.75" thickBot="1">
      <c r="B56" s="76" t="s">
        <v>16</v>
      </c>
      <c r="C56" s="77">
        <f>C55+C54</f>
        <v>294538491.00865471</v>
      </c>
      <c r="D56" s="77">
        <f>D55+D54</f>
        <v>8500238043.9686794</v>
      </c>
      <c r="E56" s="314">
        <f>1.0035/4.187</f>
        <v>0.23967040840697396</v>
      </c>
      <c r="F56" s="311">
        <f>E56*D56*(C57-G7)</f>
        <v>861759086463.54114</v>
      </c>
    </row>
    <row r="57" spans="1:18" ht="15.75" thickBot="1">
      <c r="B57" s="222" t="s">
        <v>185</v>
      </c>
      <c r="C57" s="233">
        <f>L8</f>
        <v>500</v>
      </c>
    </row>
    <row r="58" spans="1:18" ht="15.75" thickBot="1">
      <c r="B58" s="224" t="s">
        <v>230</v>
      </c>
      <c r="C58" s="225"/>
      <c r="D58" s="225"/>
    </row>
    <row r="59" spans="1:18" ht="15.75" thickBot="1">
      <c r="B59" s="117" t="s">
        <v>231</v>
      </c>
      <c r="C59" s="119"/>
    </row>
    <row r="60" spans="1:18" ht="15.75" thickBot="1">
      <c r="B60" s="310" t="s">
        <v>183</v>
      </c>
      <c r="C60" s="273">
        <f>F56</f>
        <v>861759086463.54114</v>
      </c>
    </row>
    <row r="62" spans="1:18">
      <c r="A62" t="s">
        <v>85</v>
      </c>
    </row>
    <row r="63" spans="1:18">
      <c r="A63">
        <v>1</v>
      </c>
      <c r="B63" t="s">
        <v>86</v>
      </c>
    </row>
    <row r="64" spans="1:18">
      <c r="A64">
        <v>2</v>
      </c>
      <c r="B64" t="s">
        <v>87</v>
      </c>
    </row>
    <row r="65" spans="1:2">
      <c r="A65">
        <v>3</v>
      </c>
      <c r="B65" t="s">
        <v>92</v>
      </c>
    </row>
    <row r="66" spans="1:2">
      <c r="A66">
        <v>4</v>
      </c>
      <c r="B66" t="s">
        <v>94</v>
      </c>
    </row>
    <row r="67" spans="1:2">
      <c r="A67">
        <v>5</v>
      </c>
      <c r="B67" t="s">
        <v>135</v>
      </c>
    </row>
    <row r="68" spans="1:2">
      <c r="A68">
        <v>6</v>
      </c>
      <c r="B68" t="s">
        <v>138</v>
      </c>
    </row>
    <row r="69" spans="1:2">
      <c r="A69">
        <v>7</v>
      </c>
      <c r="B69" t="s">
        <v>150</v>
      </c>
    </row>
    <row r="70" spans="1:2">
      <c r="A70">
        <v>8</v>
      </c>
      <c r="B70" t="s">
        <v>168</v>
      </c>
    </row>
    <row r="71" spans="1:2">
      <c r="A71">
        <v>9</v>
      </c>
      <c r="B71" s="250" t="s">
        <v>179</v>
      </c>
    </row>
    <row r="72" spans="1:2">
      <c r="A72">
        <v>10</v>
      </c>
      <c r="B72" t="s">
        <v>206</v>
      </c>
    </row>
    <row r="73" spans="1:2">
      <c r="A73">
        <v>11</v>
      </c>
      <c r="B73" t="s">
        <v>234</v>
      </c>
    </row>
    <row r="74" spans="1:2">
      <c r="A74">
        <v>12</v>
      </c>
      <c r="B74" t="s">
        <v>241</v>
      </c>
    </row>
  </sheetData>
  <hyperlinks>
    <hyperlink ref="B71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U39"/>
  <sheetViews>
    <sheetView tabSelected="1" topLeftCell="A16" workbookViewId="0">
      <selection activeCell="I34" sqref="I34"/>
    </sheetView>
  </sheetViews>
  <sheetFormatPr defaultRowHeight="15"/>
  <cols>
    <col min="3" max="3" width="9.140625" customWidth="1"/>
    <col min="7" max="7" width="12.140625" customWidth="1"/>
    <col min="8" max="8" width="11.28515625" customWidth="1"/>
    <col min="9" max="9" width="12.7109375" bestFit="1" customWidth="1"/>
    <col min="11" max="11" width="12.7109375" bestFit="1" customWidth="1"/>
    <col min="12" max="12" width="11" bestFit="1" customWidth="1"/>
    <col min="13" max="13" width="9.7109375" customWidth="1"/>
    <col min="15" max="16" width="12.7109375" bestFit="1" customWidth="1"/>
    <col min="17" max="17" width="11" bestFit="1" customWidth="1"/>
    <col min="20" max="20" width="14.140625" customWidth="1"/>
    <col min="22" max="22" width="12.85546875" customWidth="1"/>
  </cols>
  <sheetData>
    <row r="1" spans="2:19" ht="15.75" thickBot="1">
      <c r="G1" s="67"/>
    </row>
    <row r="2" spans="2:19">
      <c r="B2" s="321" t="s">
        <v>131</v>
      </c>
      <c r="C2" s="322"/>
      <c r="F2" s="254" t="s">
        <v>46</v>
      </c>
      <c r="G2" s="255" t="s">
        <v>21</v>
      </c>
      <c r="H2" s="255" t="s">
        <v>82</v>
      </c>
      <c r="I2" s="255" t="s">
        <v>19</v>
      </c>
      <c r="K2" s="156" t="s">
        <v>99</v>
      </c>
      <c r="L2" s="180" t="s">
        <v>21</v>
      </c>
      <c r="M2" s="186" t="s">
        <v>19</v>
      </c>
      <c r="O2" s="254" t="s">
        <v>149</v>
      </c>
      <c r="P2" s="275" t="s">
        <v>21</v>
      </c>
      <c r="Q2" s="275" t="s">
        <v>19</v>
      </c>
    </row>
    <row r="3" spans="2:19" ht="15.75" thickBot="1">
      <c r="B3" s="323"/>
      <c r="C3" s="291" t="s">
        <v>16</v>
      </c>
      <c r="F3" s="256"/>
      <c r="G3" s="257" t="s">
        <v>16</v>
      </c>
      <c r="H3" s="257" t="s">
        <v>16</v>
      </c>
      <c r="I3" s="257" t="s">
        <v>130</v>
      </c>
      <c r="K3" s="87"/>
      <c r="L3" s="183" t="s">
        <v>16</v>
      </c>
      <c r="M3" s="183" t="s">
        <v>16</v>
      </c>
      <c r="O3" s="276"/>
      <c r="P3" s="277" t="s">
        <v>16</v>
      </c>
      <c r="Q3" s="277" t="s">
        <v>16</v>
      </c>
    </row>
    <row r="4" spans="2:19" ht="15.75" thickBot="1">
      <c r="B4" s="324" t="s">
        <v>19</v>
      </c>
      <c r="C4" s="325">
        <f>'Gasifier Material'!I13</f>
        <v>3407398888.8888888</v>
      </c>
      <c r="F4" s="258" t="s">
        <v>36</v>
      </c>
      <c r="G4" s="260">
        <f>'Gasifier Material'!X11</f>
        <v>10882291.625566602</v>
      </c>
      <c r="H4" s="259">
        <f>G4/$G$18 *100</f>
        <v>7.0466152302039022</v>
      </c>
      <c r="I4" s="260">
        <f>G4*(B24+B25*2)</f>
        <v>478929654.44118613</v>
      </c>
      <c r="K4" s="181" t="s">
        <v>11</v>
      </c>
      <c r="L4" s="193">
        <f>'Gasifier Material'!T49</f>
        <v>1587.5055165746719</v>
      </c>
      <c r="M4" s="193">
        <f>L4*B28</f>
        <v>50903.364388966853</v>
      </c>
      <c r="O4" s="256" t="s">
        <v>69</v>
      </c>
      <c r="P4" s="278">
        <f>Combuster!N28</f>
        <v>232108487.28797963</v>
      </c>
      <c r="Q4" s="295">
        <f>P4*B27*2</f>
        <v>6502287162.8854609</v>
      </c>
      <c r="S4" s="67"/>
    </row>
    <row r="5" spans="2:19" ht="15.75" thickBot="1">
      <c r="B5" s="294" t="s">
        <v>261</v>
      </c>
      <c r="C5" s="327">
        <f>Energy!L6</f>
        <v>220</v>
      </c>
      <c r="D5" s="67"/>
      <c r="F5" s="256" t="s">
        <v>37</v>
      </c>
      <c r="G5" s="262">
        <f>'Gasifier Material'!X12</f>
        <v>39604405.588127628</v>
      </c>
      <c r="H5" s="261">
        <f>G5/$G$18 *100</f>
        <v>25.645058706643709</v>
      </c>
      <c r="I5" s="262">
        <f>G5*(B25+B24)</f>
        <v>1109319400.5234547</v>
      </c>
      <c r="K5" s="87" t="s">
        <v>10</v>
      </c>
      <c r="L5" s="194">
        <f>'Gasifier Material'!T50</f>
        <v>104039.14876847291</v>
      </c>
      <c r="M5" s="194">
        <f>L5*B27</f>
        <v>1457276.3568</v>
      </c>
      <c r="O5" s="256" t="s">
        <v>184</v>
      </c>
      <c r="P5" s="278">
        <f>Combuster!N29</f>
        <v>10412976.954851434</v>
      </c>
      <c r="Q5" s="262">
        <f>P5*B25*2</f>
        <v>333215262.55524588</v>
      </c>
      <c r="S5" s="67"/>
    </row>
    <row r="6" spans="2:19" ht="15.75" thickBot="1">
      <c r="B6" s="282" t="s">
        <v>187</v>
      </c>
      <c r="C6" s="328">
        <f>'Gasifier Material'!U6</f>
        <v>23</v>
      </c>
      <c r="D6" s="67"/>
      <c r="F6" s="256" t="s">
        <v>38</v>
      </c>
      <c r="G6" s="262">
        <f>'Gasifier Material'!X13</f>
        <v>19623804.570693873</v>
      </c>
      <c r="H6" s="261">
        <f>G6/$G$18 *100</f>
        <v>12.707011070859497</v>
      </c>
      <c r="I6" s="262">
        <f>G6*B26*2</f>
        <v>39557665.25360471</v>
      </c>
      <c r="K6" s="87" t="s">
        <v>9</v>
      </c>
      <c r="L6" s="194">
        <f>'Gasifier Material'!T52</f>
        <v>32013463.967608795</v>
      </c>
      <c r="M6" s="194">
        <f>L6*B25</f>
        <v>512215423.48174071</v>
      </c>
      <c r="O6" s="256" t="s">
        <v>75</v>
      </c>
      <c r="P6" s="278">
        <f>Combuster!N30</f>
        <v>58240066.346424945</v>
      </c>
      <c r="Q6" s="262">
        <f>P6*(B25+2*B26)</f>
        <v>1049241387.2839224</v>
      </c>
      <c r="S6" s="67"/>
    </row>
    <row r="7" spans="2:19">
      <c r="F7" s="256" t="s">
        <v>39</v>
      </c>
      <c r="G7" s="262">
        <f>'Gasifier Material'!X14</f>
        <v>13915061.422855653</v>
      </c>
      <c r="H7" s="261">
        <f>G7/$G$18 *100</f>
        <v>9.0104260320640055</v>
      </c>
      <c r="I7" s="262">
        <f>G7*(B24+B26*4)</f>
        <v>223219849.32088122</v>
      </c>
      <c r="K7" s="87" t="s">
        <v>8</v>
      </c>
      <c r="L7" s="194">
        <f>'Gasifier Material'!T53</f>
        <v>116480132.69284989</v>
      </c>
      <c r="M7" s="194">
        <f>L7*B26</f>
        <v>117400325.74112341</v>
      </c>
      <c r="O7" s="256" t="s">
        <v>36</v>
      </c>
      <c r="P7" s="278">
        <f>Combuster!N31</f>
        <v>38941672.94743102</v>
      </c>
      <c r="Q7" s="262">
        <f>P7*(B24+B25*2)</f>
        <v>1713823026.4164391</v>
      </c>
      <c r="S7" s="67"/>
    </row>
    <row r="8" spans="2:19" ht="15.75" thickBot="1">
      <c r="F8" s="256" t="s">
        <v>40</v>
      </c>
      <c r="G8" s="262">
        <f>'Gasifier Material'!X15</f>
        <v>4549154.6959335785</v>
      </c>
      <c r="H8" s="261">
        <f>G8/$G$18 *100</f>
        <v>2.9457162027901553</v>
      </c>
      <c r="I8" s="262">
        <f>G8*(B24*2+B26*4)</f>
        <v>127611067.86845037</v>
      </c>
      <c r="K8" s="87" t="s">
        <v>7</v>
      </c>
      <c r="L8" s="194">
        <f>'Gasifier Material'!T54</f>
        <v>38941672.94743102</v>
      </c>
      <c r="M8" s="194">
        <f>L8*B24</f>
        <v>467689492.09864652</v>
      </c>
      <c r="O8" s="256" t="s">
        <v>194</v>
      </c>
      <c r="P8" s="278">
        <f>Combuster!N32</f>
        <v>7860.735684729063</v>
      </c>
      <c r="Q8" s="262">
        <f>P8*(B27+B25)</f>
        <v>235877.09569166499</v>
      </c>
      <c r="S8" s="67"/>
    </row>
    <row r="9" spans="2:19" ht="15.75" thickBot="1">
      <c r="B9" s="280" t="s">
        <v>89</v>
      </c>
      <c r="C9" s="322"/>
      <c r="F9" s="263" t="s">
        <v>41</v>
      </c>
      <c r="G9" s="333">
        <f>'Gasifier Material'!X16</f>
        <v>624393.78179480496</v>
      </c>
      <c r="H9" s="264">
        <f>G9/$G$18 *100</f>
        <v>0.40431398861825668</v>
      </c>
      <c r="I9" s="262">
        <f>G9*(B24*2+B26*6)</f>
        <v>18773897.59473712</v>
      </c>
      <c r="K9" s="185" t="s">
        <v>16</v>
      </c>
      <c r="L9" s="198">
        <f>SUM(L4:L8)</f>
        <v>187540896.26217476</v>
      </c>
      <c r="M9" s="198">
        <f>SUM(M4:M8)</f>
        <v>1098813421.0426996</v>
      </c>
      <c r="O9" s="256" t="s">
        <v>169</v>
      </c>
      <c r="P9" s="278">
        <f>Combuster!N33</f>
        <v>1587.5055165746719</v>
      </c>
      <c r="Q9" s="271">
        <f>P9*(B25*2+B28)</f>
        <v>101703.54091935635</v>
      </c>
      <c r="S9" s="67"/>
    </row>
    <row r="10" spans="2:19" ht="15.75" thickBot="1">
      <c r="B10" s="223"/>
      <c r="C10" s="291" t="s">
        <v>16</v>
      </c>
      <c r="F10" s="256" t="s">
        <v>63</v>
      </c>
      <c r="G10" s="262">
        <f>'Gasifier Material'!X19</f>
        <v>15785.160275049118</v>
      </c>
      <c r="H10" s="261">
        <f>G10/$G$18 *100</f>
        <v>1.0221371989705276E-2</v>
      </c>
      <c r="I10" s="260">
        <f>G10*(B26*2+B28)</f>
        <v>537970.89030189393</v>
      </c>
      <c r="K10" s="156" t="s">
        <v>99</v>
      </c>
      <c r="L10" s="186" t="s">
        <v>19</v>
      </c>
      <c r="O10" s="270" t="s">
        <v>16</v>
      </c>
      <c r="P10" s="279">
        <f>Combuster!N34</f>
        <v>339712651.77788836</v>
      </c>
      <c r="Q10" s="300">
        <f>SUM(Q4:Q9)</f>
        <v>9598904419.7776794</v>
      </c>
    </row>
    <row r="11" spans="2:19" ht="15.75" thickBot="1">
      <c r="B11" s="329" t="s">
        <v>19</v>
      </c>
      <c r="C11" s="331">
        <f>'Gasifier Material'!M26</f>
        <v>1226663600</v>
      </c>
      <c r="F11" s="256" t="s">
        <v>67</v>
      </c>
      <c r="G11" s="262">
        <f>'Gasifier Material'!X20</f>
        <v>1753.9066972276796</v>
      </c>
      <c r="H11" s="261">
        <f>G11/$G$18 *100</f>
        <v>1.1357079988561416E-3</v>
      </c>
      <c r="I11" s="262">
        <f>G11*(B24+B25+B26)</f>
        <v>50894.689149483078</v>
      </c>
      <c r="K11" s="87"/>
      <c r="L11" s="183" t="s">
        <v>16</v>
      </c>
      <c r="O11" s="270" t="s">
        <v>261</v>
      </c>
      <c r="P11" s="335">
        <f>Energy!L7</f>
        <v>1770</v>
      </c>
    </row>
    <row r="12" spans="2:19" ht="15.75" thickBot="1">
      <c r="B12" s="330" t="s">
        <v>21</v>
      </c>
      <c r="C12" s="332">
        <f>'Gasifier Material'!M27</f>
        <v>68087455.595026657</v>
      </c>
      <c r="F12" s="256" t="s">
        <v>64</v>
      </c>
      <c r="G12" s="262">
        <f>'Gasifier Material'!X21</f>
        <v>368077.89753694582</v>
      </c>
      <c r="H12" s="261">
        <f>G12/$G$18 *100</f>
        <v>0.23834164787421133</v>
      </c>
      <c r="I12" s="262">
        <f>G12*(B27+B26*3)</f>
        <v>6268624.2495824629</v>
      </c>
      <c r="K12" s="181" t="s">
        <v>25</v>
      </c>
      <c r="L12" s="193">
        <f>'Gasifier Material'!T57</f>
        <v>135588463.69466001</v>
      </c>
      <c r="O12" s="301" t="s">
        <v>187</v>
      </c>
      <c r="P12" s="336">
        <f>G20</f>
        <v>23</v>
      </c>
    </row>
    <row r="13" spans="2:19" ht="15.75" thickBot="1">
      <c r="B13" s="294" t="s">
        <v>261</v>
      </c>
      <c r="C13" s="327">
        <f>Energy!L9</f>
        <v>700</v>
      </c>
      <c r="F13" s="256" t="s">
        <v>68</v>
      </c>
      <c r="G13" s="262">
        <f>'Gasifier Material'!X22</f>
        <v>147231.15901477833</v>
      </c>
      <c r="H13" s="261">
        <f>G13/$G$18 *100</f>
        <v>9.5336659149684547E-2</v>
      </c>
      <c r="I13" s="262">
        <f>G13*(B24+B26+B27)</f>
        <v>3978907.3492584825</v>
      </c>
      <c r="K13" s="87" t="s">
        <v>26</v>
      </c>
      <c r="L13" s="194">
        <f>'Gasifier Material'!T58</f>
        <v>1908688.5615999999</v>
      </c>
    </row>
    <row r="14" spans="2:19" ht="15.75" thickBot="1">
      <c r="B14" s="282" t="s">
        <v>187</v>
      </c>
      <c r="C14" s="328">
        <f>C6</f>
        <v>23</v>
      </c>
      <c r="F14" s="256" t="s">
        <v>69</v>
      </c>
      <c r="G14" s="262">
        <f>'Gasifier Material'!X23</f>
        <v>478501.2667980296</v>
      </c>
      <c r="H14" s="261">
        <f>G14/$G$18 *100</f>
        <v>0.30984414223647477</v>
      </c>
      <c r="I14" s="262">
        <f>G14*B27*2</f>
        <v>13404734.488080001</v>
      </c>
      <c r="K14" s="87" t="s">
        <v>27</v>
      </c>
      <c r="L14" s="194">
        <f>'Gasifier Material'!T59</f>
        <v>882768.45973999996</v>
      </c>
    </row>
    <row r="15" spans="2:19" ht="15.75" thickBot="1">
      <c r="F15" s="256" t="s">
        <v>65</v>
      </c>
      <c r="G15" s="262">
        <f>'Gasifier Material'!X24</f>
        <v>33648.220207034661</v>
      </c>
      <c r="H15" s="261">
        <f>G15/$G$18 *100</f>
        <v>2.1788247286361424E-2</v>
      </c>
      <c r="I15" s="262">
        <f>G15*(B26+B29)</f>
        <v>1226844.3921466703</v>
      </c>
      <c r="K15" s="87" t="s">
        <v>28</v>
      </c>
      <c r="L15" s="194">
        <f>'Gasifier Material'!T60</f>
        <v>11404414.15556</v>
      </c>
    </row>
    <row r="16" spans="2:19" ht="15.75" thickBot="1">
      <c r="F16" s="265" t="s">
        <v>75</v>
      </c>
      <c r="G16" s="334">
        <f>'Gasifier Material'!X27</f>
        <v>63114590.578689441</v>
      </c>
      <c r="H16" s="266">
        <f>G16/$G$18 *100</f>
        <v>40.868619452818656</v>
      </c>
      <c r="I16" s="267">
        <f>G16*(B26*2+B25)</f>
        <v>1137059840.9475532</v>
      </c>
      <c r="K16" s="87" t="s">
        <v>29</v>
      </c>
      <c r="L16" s="194">
        <f>'Gasifier Material'!T61</f>
        <v>26363760.757099997</v>
      </c>
      <c r="O16" s="280" t="s">
        <v>173</v>
      </c>
      <c r="P16" s="290" t="s">
        <v>21</v>
      </c>
      <c r="Q16" s="281" t="s">
        <v>19</v>
      </c>
      <c r="R16" s="67"/>
    </row>
    <row r="17" spans="1:21" ht="15.75" thickBot="1">
      <c r="F17" s="274" t="s">
        <v>50</v>
      </c>
      <c r="G17" s="269">
        <f>'Gasifier Material'!X34</f>
        <v>1074191.238152808</v>
      </c>
      <c r="H17" s="268">
        <f>G17/$G$18 *100</f>
        <v>0.69557153946653705</v>
      </c>
      <c r="I17" s="269">
        <f>G17*(B24*10+B26*8)</f>
        <v>137671786.49362597</v>
      </c>
      <c r="K17" s="87" t="s">
        <v>30</v>
      </c>
      <c r="L17" s="194">
        <f>'Gasifier Material'!T62</f>
        <v>715758.21059999999</v>
      </c>
      <c r="O17" s="223"/>
      <c r="P17" s="291" t="s">
        <v>16</v>
      </c>
      <c r="Q17" s="287" t="s">
        <v>16</v>
      </c>
      <c r="R17" s="67"/>
    </row>
    <row r="18" spans="1:21" ht="15.75" thickBot="1">
      <c r="D18" s="97"/>
      <c r="E18" s="97"/>
      <c r="F18" s="270" t="s">
        <v>16</v>
      </c>
      <c r="G18" s="269">
        <f>SUM(G4:G17)</f>
        <v>154432891.11234343</v>
      </c>
      <c r="H18" s="268">
        <f>SUM(H4:H17)</f>
        <v>100.00000000000001</v>
      </c>
      <c r="I18" s="299">
        <f>SUM(I4:I17)</f>
        <v>3297611138.5020123</v>
      </c>
      <c r="K18" s="87" t="s">
        <v>31</v>
      </c>
      <c r="L18" s="194">
        <f>'Gasifier Material'!T63</f>
        <v>21615897.96012</v>
      </c>
      <c r="O18" s="223" t="s">
        <v>184</v>
      </c>
      <c r="P18" s="292">
        <f>Combuster!H28</f>
        <v>62477861.729108572</v>
      </c>
      <c r="Q18" s="288">
        <f>P18*B25*2</f>
        <v>1999291575.3314743</v>
      </c>
      <c r="R18" s="67"/>
    </row>
    <row r="19" spans="1:21" ht="15.75" thickBot="1">
      <c r="F19" s="270" t="s">
        <v>261</v>
      </c>
      <c r="G19" s="335">
        <f>Energy!L10</f>
        <v>1454</v>
      </c>
      <c r="K19" s="87" t="s">
        <v>32</v>
      </c>
      <c r="L19" s="194">
        <f>'Gasifier Material'!T64</f>
        <v>13050658.03994</v>
      </c>
      <c r="O19" s="289" t="s">
        <v>69</v>
      </c>
      <c r="P19" s="293">
        <f>Combuster!H29</f>
        <v>232060629.27954614</v>
      </c>
      <c r="Q19" s="283">
        <f>P19*B27*2</f>
        <v>6500946468.6372051</v>
      </c>
      <c r="R19" s="67"/>
    </row>
    <row r="20" spans="1:21" ht="15.75" thickBot="1">
      <c r="F20" s="301" t="s">
        <v>187</v>
      </c>
      <c r="G20" s="336">
        <f>C6</f>
        <v>23</v>
      </c>
      <c r="H20" s="97"/>
      <c r="I20" s="97"/>
      <c r="J20" s="97"/>
      <c r="K20" s="90" t="s">
        <v>140</v>
      </c>
      <c r="L20" s="198">
        <f>'Gasifier Material'!N19</f>
        <v>25648002.546499997</v>
      </c>
      <c r="O20" s="282" t="s">
        <v>16</v>
      </c>
      <c r="P20" s="293">
        <f>P19+P18</f>
        <v>294538491.00865471</v>
      </c>
      <c r="Q20" s="339">
        <f>Q19+Q18</f>
        <v>8500238043.9686794</v>
      </c>
      <c r="R20" s="67"/>
    </row>
    <row r="21" spans="1:21" ht="15.75" thickBot="1">
      <c r="H21" s="97"/>
      <c r="I21" s="97"/>
      <c r="J21" s="97"/>
      <c r="K21" s="185" t="s">
        <v>16</v>
      </c>
      <c r="L21" s="198">
        <f>SUM(L12:L20)</f>
        <v>237178412.38581997</v>
      </c>
      <c r="O21" s="294" t="s">
        <v>261</v>
      </c>
      <c r="P21" s="327">
        <f>Energy!L8</f>
        <v>500</v>
      </c>
      <c r="R21" s="67"/>
    </row>
    <row r="22" spans="1:21" ht="15.75" thickBot="1">
      <c r="H22" s="97"/>
      <c r="I22" s="98"/>
      <c r="J22" s="98"/>
      <c r="K22" s="185" t="s">
        <v>261</v>
      </c>
      <c r="L22" s="337">
        <f>G19</f>
        <v>1454</v>
      </c>
      <c r="O22" s="282" t="s">
        <v>187</v>
      </c>
      <c r="P22" s="328">
        <f>Summary!L23</f>
        <v>23</v>
      </c>
      <c r="R22" s="67"/>
    </row>
    <row r="23" spans="1:21" ht="15.75" thickBot="1">
      <c r="A23" s="40"/>
      <c r="B23" s="41" t="s">
        <v>47</v>
      </c>
      <c r="K23" s="285" t="s">
        <v>187</v>
      </c>
      <c r="L23" s="338">
        <f>G20</f>
        <v>23</v>
      </c>
      <c r="R23" s="67"/>
      <c r="S23" s="98"/>
      <c r="T23" s="98"/>
      <c r="U23" s="98"/>
    </row>
    <row r="24" spans="1:21">
      <c r="A24" s="54" t="s">
        <v>7</v>
      </c>
      <c r="B24" s="56">
        <v>12.01</v>
      </c>
      <c r="N24" s="97"/>
      <c r="R24" s="67"/>
      <c r="S24" s="98"/>
      <c r="T24" s="98"/>
      <c r="U24" s="98"/>
    </row>
    <row r="25" spans="1:21" ht="15.75" thickBot="1">
      <c r="A25" s="54" t="s">
        <v>9</v>
      </c>
      <c r="B25" s="56">
        <v>16</v>
      </c>
      <c r="S25" s="98"/>
      <c r="T25" s="98"/>
      <c r="U25" s="98"/>
    </row>
    <row r="26" spans="1:21">
      <c r="A26" s="54" t="s">
        <v>8</v>
      </c>
      <c r="B26" s="56">
        <v>1.0079</v>
      </c>
      <c r="J26" s="156" t="s">
        <v>195</v>
      </c>
      <c r="K26" s="155"/>
      <c r="L26" s="284" t="s">
        <v>16</v>
      </c>
      <c r="O26" s="254" t="s">
        <v>196</v>
      </c>
      <c r="P26" s="255" t="s">
        <v>19</v>
      </c>
      <c r="R26" s="97"/>
      <c r="S26" s="97"/>
      <c r="T26" s="97"/>
      <c r="U26" s="97"/>
    </row>
    <row r="27" spans="1:21" ht="15.75" thickBot="1">
      <c r="A27" s="54" t="s">
        <v>10</v>
      </c>
      <c r="B27" s="56">
        <v>14.007</v>
      </c>
      <c r="E27" s="113" t="s">
        <v>197</v>
      </c>
      <c r="J27" s="285" t="s">
        <v>19</v>
      </c>
      <c r="K27" s="286"/>
      <c r="L27" s="152">
        <f>Combuster!I8</f>
        <v>113466383000</v>
      </c>
      <c r="O27" s="256"/>
      <c r="P27" s="257" t="s">
        <v>16</v>
      </c>
      <c r="Q27" s="97"/>
      <c r="R27" s="96"/>
    </row>
    <row r="28" spans="1:21" ht="15.75" thickBot="1">
      <c r="A28" s="54" t="s">
        <v>11</v>
      </c>
      <c r="B28" s="56">
        <v>32.064999999999998</v>
      </c>
      <c r="E28" s="199" t="s">
        <v>132</v>
      </c>
      <c r="G28" s="255" t="s">
        <v>133</v>
      </c>
      <c r="J28" s="285" t="s">
        <v>266</v>
      </c>
      <c r="K28" s="341"/>
      <c r="L28" s="312">
        <f>Combuster!I5</f>
        <v>37</v>
      </c>
      <c r="O28" s="258" t="s">
        <v>25</v>
      </c>
      <c r="P28" s="295">
        <f>L12</f>
        <v>135588463.69466001</v>
      </c>
      <c r="R28" s="97"/>
    </row>
    <row r="29" spans="1:21" ht="15.75" thickBot="1">
      <c r="A29" s="42" t="s">
        <v>24</v>
      </c>
      <c r="B29" s="43">
        <v>35.453000000000003</v>
      </c>
      <c r="E29" s="197">
        <f>C11+C4+Q20</f>
        <v>13134300532.857569</v>
      </c>
      <c r="G29" s="271">
        <f>I18+Q10+P37</f>
        <v>13133693970.665512</v>
      </c>
      <c r="O29" s="256" t="s">
        <v>26</v>
      </c>
      <c r="P29" s="262">
        <f>L13</f>
        <v>1908688.5615999999</v>
      </c>
      <c r="R29" s="97"/>
    </row>
    <row r="30" spans="1:21">
      <c r="O30" s="256" t="s">
        <v>27</v>
      </c>
      <c r="P30" s="262">
        <f>L14</f>
        <v>882768.45973999996</v>
      </c>
    </row>
    <row r="31" spans="1:21" ht="15.75" thickBot="1">
      <c r="E31" s="113" t="s">
        <v>198</v>
      </c>
      <c r="I31" s="113" t="s">
        <v>181</v>
      </c>
      <c r="O31" s="256" t="s">
        <v>28</v>
      </c>
      <c r="P31" s="262">
        <f>L15</f>
        <v>11404414.15556</v>
      </c>
    </row>
    <row r="32" spans="1:21">
      <c r="E32" s="199" t="s">
        <v>132</v>
      </c>
      <c r="G32" s="255" t="s">
        <v>133</v>
      </c>
      <c r="I32" s="290" t="s">
        <v>232</v>
      </c>
      <c r="K32" s="255" t="s">
        <v>246</v>
      </c>
      <c r="O32" s="256" t="s">
        <v>29</v>
      </c>
      <c r="P32" s="262">
        <f>L16</f>
        <v>26363760.757099997</v>
      </c>
    </row>
    <row r="33" spans="5:16" ht="15.75" thickBot="1">
      <c r="E33" s="197">
        <f>C4+C11</f>
        <v>4634062488.8888893</v>
      </c>
      <c r="G33" s="271">
        <f>I18+M9+L21</f>
        <v>4633602971.9305325</v>
      </c>
      <c r="I33" s="326">
        <f>Energy!O7</f>
        <v>-17175972619539.465</v>
      </c>
      <c r="K33" s="298">
        <f>Energy!R7</f>
        <v>-17176450741852.297</v>
      </c>
      <c r="O33" s="256" t="s">
        <v>30</v>
      </c>
      <c r="P33" s="262">
        <f>L17</f>
        <v>715758.21059999999</v>
      </c>
    </row>
    <row r="34" spans="5:16">
      <c r="O34" s="256" t="s">
        <v>31</v>
      </c>
      <c r="P34" s="262">
        <f>L18</f>
        <v>21615897.96012</v>
      </c>
    </row>
    <row r="35" spans="5:16" ht="15.75" thickBot="1">
      <c r="E35" s="113" t="s">
        <v>199</v>
      </c>
      <c r="O35" s="256" t="s">
        <v>32</v>
      </c>
      <c r="P35" s="271">
        <f>L19</f>
        <v>13050658.03994</v>
      </c>
    </row>
    <row r="36" spans="5:16" ht="15.75" thickBot="1">
      <c r="E36" s="199" t="s">
        <v>132</v>
      </c>
      <c r="G36" s="255" t="s">
        <v>133</v>
      </c>
      <c r="O36" s="296" t="s">
        <v>140</v>
      </c>
      <c r="P36" s="269">
        <f>L20</f>
        <v>25648002.546499997</v>
      </c>
    </row>
    <row r="37" spans="5:16" ht="15.75" thickBot="1">
      <c r="E37" s="197">
        <f>L21+M9+Q20</f>
        <v>9836229877.3971996</v>
      </c>
      <c r="G37" s="271">
        <f>Q10+P37</f>
        <v>9836082832.1634998</v>
      </c>
      <c r="O37" s="270" t="s">
        <v>16</v>
      </c>
      <c r="P37" s="299">
        <f>SUM(P28:P36)</f>
        <v>237178412.38581997</v>
      </c>
    </row>
    <row r="38" spans="5:16" ht="15.75" thickBot="1">
      <c r="O38" s="270" t="s">
        <v>261</v>
      </c>
      <c r="P38" s="335">
        <f>Energy!L7</f>
        <v>1770</v>
      </c>
    </row>
    <row r="39" spans="5:16" ht="15.75" thickBot="1">
      <c r="O39" s="301" t="s">
        <v>187</v>
      </c>
      <c r="P39" s="336">
        <f>P22</f>
        <v>23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Gasifier Material</vt:lpstr>
      <vt:lpstr>Combuster</vt:lpstr>
      <vt:lpstr>Energy</vt:lpstr>
      <vt:lpstr>Summary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James O'Brien</dc:creator>
  <cp:lastModifiedBy>Tim James O'Brien</cp:lastModifiedBy>
  <dcterms:created xsi:type="dcterms:W3CDTF">2009-02-07T19:18:50Z</dcterms:created>
  <dcterms:modified xsi:type="dcterms:W3CDTF">2009-02-17T02:37:53Z</dcterms:modified>
</cp:coreProperties>
</file>